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25.09.25 (для поправок 25-27)" sheetId="5" r:id="rId1"/>
  </sheets>
  <definedNames>
    <definedName name="_xlnm.Print_Titles" localSheetId="0">'25.09.25 (для поправок 25-27)'!$5:$8</definedName>
    <definedName name="_xlnm.Print_Area" localSheetId="0">'25.09.25 (для поправок 25-27)'!$A$1:$V$200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51" i="5"/>
  <c r="H56"/>
  <c r="H19" s="1"/>
  <c r="X197"/>
  <c r="L197"/>
  <c r="F195"/>
  <c r="F189" s="1"/>
  <c r="E195"/>
  <c r="E189" s="1"/>
  <c r="P194"/>
  <c r="Q194" s="1"/>
  <c r="Q191" s="1"/>
  <c r="Q189" s="1"/>
  <c r="Q11" s="1"/>
  <c r="L193"/>
  <c r="K193"/>
  <c r="L192"/>
  <c r="K192"/>
  <c r="O191"/>
  <c r="O189" s="1"/>
  <c r="O11" s="1"/>
  <c r="M191"/>
  <c r="M189" s="1"/>
  <c r="M11" s="1"/>
  <c r="L191"/>
  <c r="K191"/>
  <c r="J191"/>
  <c r="H191"/>
  <c r="J190"/>
  <c r="K190" s="1"/>
  <c r="K189" s="1"/>
  <c r="H190"/>
  <c r="V189"/>
  <c r="U189"/>
  <c r="T189"/>
  <c r="R189"/>
  <c r="J189"/>
  <c r="I189"/>
  <c r="I11" s="1"/>
  <c r="D189"/>
  <c r="C189"/>
  <c r="V187"/>
  <c r="U187"/>
  <c r="T187"/>
  <c r="R187"/>
  <c r="L186"/>
  <c r="L185" s="1"/>
  <c r="K185"/>
  <c r="J185"/>
  <c r="H185"/>
  <c r="K184"/>
  <c r="L184" s="1"/>
  <c r="L183"/>
  <c r="K183"/>
  <c r="K182"/>
  <c r="L182" s="1"/>
  <c r="L181"/>
  <c r="K181"/>
  <c r="K180"/>
  <c r="L180" s="1"/>
  <c r="K179"/>
  <c r="L179" s="1"/>
  <c r="K178"/>
  <c r="L178" s="1"/>
  <c r="L177"/>
  <c r="K177"/>
  <c r="L176"/>
  <c r="K176"/>
  <c r="K175"/>
  <c r="L175" s="1"/>
  <c r="K174"/>
  <c r="L174" s="1"/>
  <c r="L172"/>
  <c r="K172"/>
  <c r="J172"/>
  <c r="W171"/>
  <c r="F171"/>
  <c r="E171"/>
  <c r="G171" s="1"/>
  <c r="G169"/>
  <c r="C169"/>
  <c r="C167" s="1"/>
  <c r="V167"/>
  <c r="U167"/>
  <c r="T167"/>
  <c r="R167"/>
  <c r="F167"/>
  <c r="E167"/>
  <c r="L163"/>
  <c r="J163"/>
  <c r="L162"/>
  <c r="L161"/>
  <c r="L160"/>
  <c r="L159"/>
  <c r="J159"/>
  <c r="J154" s="1"/>
  <c r="L158"/>
  <c r="L157"/>
  <c r="F156"/>
  <c r="F154" s="1"/>
  <c r="V154"/>
  <c r="U154"/>
  <c r="T154"/>
  <c r="R154"/>
  <c r="H154"/>
  <c r="E154"/>
  <c r="C154"/>
  <c r="L153"/>
  <c r="K153"/>
  <c r="G152"/>
  <c r="F152"/>
  <c r="E152"/>
  <c r="G151"/>
  <c r="F151"/>
  <c r="E151"/>
  <c r="L150"/>
  <c r="L149" s="1"/>
  <c r="V149"/>
  <c r="U149"/>
  <c r="T149"/>
  <c r="R149"/>
  <c r="K149"/>
  <c r="J149"/>
  <c r="W149" s="1"/>
  <c r="H149"/>
  <c r="G149"/>
  <c r="F149"/>
  <c r="E149"/>
  <c r="C149"/>
  <c r="U147"/>
  <c r="V147" s="1"/>
  <c r="V146" s="1"/>
  <c r="T146"/>
  <c r="S146"/>
  <c r="R146"/>
  <c r="L145"/>
  <c r="L143"/>
  <c r="L142"/>
  <c r="L141"/>
  <c r="L140"/>
  <c r="U139"/>
  <c r="U138" s="1"/>
  <c r="T138"/>
  <c r="R138"/>
  <c r="K138"/>
  <c r="J138"/>
  <c r="H138"/>
  <c r="G137"/>
  <c r="G136"/>
  <c r="G135"/>
  <c r="W134"/>
  <c r="G134"/>
  <c r="G133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F113"/>
  <c r="E113"/>
  <c r="C113"/>
  <c r="V112"/>
  <c r="U112"/>
  <c r="T112"/>
  <c r="R112"/>
  <c r="F112"/>
  <c r="E112"/>
  <c r="C112"/>
  <c r="W112" s="1"/>
  <c r="K111"/>
  <c r="L111" s="1"/>
  <c r="L110"/>
  <c r="K110"/>
  <c r="L109"/>
  <c r="K109"/>
  <c r="K108"/>
  <c r="L108" s="1"/>
  <c r="V106"/>
  <c r="U106"/>
  <c r="T106"/>
  <c r="R106"/>
  <c r="J106"/>
  <c r="H106"/>
  <c r="G105"/>
  <c r="W103"/>
  <c r="L103"/>
  <c r="L100" s="1"/>
  <c r="F102"/>
  <c r="F100" s="1"/>
  <c r="E102"/>
  <c r="G102" s="1"/>
  <c r="G100" s="1"/>
  <c r="V100"/>
  <c r="U100"/>
  <c r="T100"/>
  <c r="R100"/>
  <c r="K100"/>
  <c r="J100"/>
  <c r="H100"/>
  <c r="C100"/>
  <c r="L99"/>
  <c r="V98"/>
  <c r="U98"/>
  <c r="T98"/>
  <c r="R98"/>
  <c r="L98"/>
  <c r="K98"/>
  <c r="J98"/>
  <c r="H98"/>
  <c r="U95"/>
  <c r="U94" s="1"/>
  <c r="T94"/>
  <c r="R94"/>
  <c r="W93"/>
  <c r="V93"/>
  <c r="V92" s="1"/>
  <c r="U93"/>
  <c r="U92" s="1"/>
  <c r="L93"/>
  <c r="L92" s="1"/>
  <c r="T92"/>
  <c r="R92"/>
  <c r="K92"/>
  <c r="J92"/>
  <c r="H92"/>
  <c r="L91"/>
  <c r="L89" s="1"/>
  <c r="K91"/>
  <c r="K89" s="1"/>
  <c r="H91"/>
  <c r="F91"/>
  <c r="F89" s="1"/>
  <c r="E91"/>
  <c r="V89"/>
  <c r="U89"/>
  <c r="T89"/>
  <c r="R89"/>
  <c r="J89"/>
  <c r="H89"/>
  <c r="C89"/>
  <c r="E86"/>
  <c r="E85"/>
  <c r="E84"/>
  <c r="E82"/>
  <c r="C82"/>
  <c r="C81" s="1"/>
  <c r="V81"/>
  <c r="U81"/>
  <c r="T81"/>
  <c r="R81"/>
  <c r="G81"/>
  <c r="F81"/>
  <c r="G80"/>
  <c r="G79"/>
  <c r="G78"/>
  <c r="F77"/>
  <c r="E77"/>
  <c r="G77" s="1"/>
  <c r="D77"/>
  <c r="D75" s="1"/>
  <c r="V75"/>
  <c r="U75"/>
  <c r="T75"/>
  <c r="R75"/>
  <c r="L75"/>
  <c r="K75"/>
  <c r="J75"/>
  <c r="H75"/>
  <c r="F75"/>
  <c r="C75"/>
  <c r="J58"/>
  <c r="L74"/>
  <c r="K74"/>
  <c r="K73"/>
  <c r="L73" s="1"/>
  <c r="K72"/>
  <c r="L72" s="1"/>
  <c r="K71"/>
  <c r="K58" s="1"/>
  <c r="L70"/>
  <c r="K70"/>
  <c r="L69"/>
  <c r="K69"/>
  <c r="K68"/>
  <c r="L68" s="1"/>
  <c r="F67"/>
  <c r="G67" s="1"/>
  <c r="G66"/>
  <c r="F66"/>
  <c r="G65"/>
  <c r="F65"/>
  <c r="F64"/>
  <c r="G64" s="1"/>
  <c r="G63"/>
  <c r="F63"/>
  <c r="F62"/>
  <c r="G62" s="1"/>
  <c r="G61"/>
  <c r="F61"/>
  <c r="F60"/>
  <c r="G60" s="1"/>
  <c r="F59"/>
  <c r="G59" s="1"/>
  <c r="H58"/>
  <c r="E58"/>
  <c r="C58"/>
  <c r="L57"/>
  <c r="J56"/>
  <c r="L56" s="1"/>
  <c r="K55"/>
  <c r="L55" s="1"/>
  <c r="L54"/>
  <c r="L53"/>
  <c r="K53"/>
  <c r="L52"/>
  <c r="L50"/>
  <c r="L49"/>
  <c r="L48"/>
  <c r="L47"/>
  <c r="L46"/>
  <c r="K46"/>
  <c r="L45"/>
  <c r="L44"/>
  <c r="L43"/>
  <c r="L42"/>
  <c r="L41"/>
  <c r="L40"/>
  <c r="F39"/>
  <c r="G39" s="1"/>
  <c r="W38"/>
  <c r="L38"/>
  <c r="F38"/>
  <c r="G38" s="1"/>
  <c r="F37"/>
  <c r="G37" s="1"/>
  <c r="C37"/>
  <c r="W37" s="1"/>
  <c r="W36"/>
  <c r="G36"/>
  <c r="F36"/>
  <c r="W35"/>
  <c r="F35"/>
  <c r="G35" s="1"/>
  <c r="W34"/>
  <c r="G34"/>
  <c r="F34"/>
  <c r="W33"/>
  <c r="G33"/>
  <c r="F33"/>
  <c r="W32"/>
  <c r="F32"/>
  <c r="G32" s="1"/>
  <c r="W31"/>
  <c r="G31"/>
  <c r="F31"/>
  <c r="W30"/>
  <c r="G30"/>
  <c r="F30"/>
  <c r="C30"/>
  <c r="W29"/>
  <c r="F29"/>
  <c r="G29" s="1"/>
  <c r="W28"/>
  <c r="G28"/>
  <c r="F28"/>
  <c r="W27"/>
  <c r="F27"/>
  <c r="G27" s="1"/>
  <c r="W26"/>
  <c r="F26"/>
  <c r="G26" s="1"/>
  <c r="W25"/>
  <c r="G25"/>
  <c r="F25"/>
  <c r="W24"/>
  <c r="G24"/>
  <c r="F24"/>
  <c r="W23"/>
  <c r="G23"/>
  <c r="F23"/>
  <c r="W22"/>
  <c r="F22"/>
  <c r="G22" s="1"/>
  <c r="W21"/>
  <c r="G21"/>
  <c r="F21"/>
  <c r="F20"/>
  <c r="G20" s="1"/>
  <c r="J19"/>
  <c r="J18" s="1"/>
  <c r="E19"/>
  <c r="V18"/>
  <c r="U18"/>
  <c r="T18"/>
  <c r="R18"/>
  <c r="G17"/>
  <c r="V16"/>
  <c r="K16"/>
  <c r="L16" s="1"/>
  <c r="L15" s="1"/>
  <c r="G16"/>
  <c r="G15" s="1"/>
  <c r="F16"/>
  <c r="F15" s="1"/>
  <c r="E16"/>
  <c r="E15" s="1"/>
  <c r="C16"/>
  <c r="C15" s="1"/>
  <c r="V15"/>
  <c r="J15"/>
  <c r="H15"/>
  <c r="Y12"/>
  <c r="W12"/>
  <c r="S11"/>
  <c r="N11"/>
  <c r="G167" l="1"/>
  <c r="E81"/>
  <c r="E100"/>
  <c r="T11"/>
  <c r="G112"/>
  <c r="L138"/>
  <c r="H189"/>
  <c r="Z12" s="1"/>
  <c r="K19"/>
  <c r="K18" s="1"/>
  <c r="Z18" s="1"/>
  <c r="F58"/>
  <c r="F18" s="1"/>
  <c r="G75"/>
  <c r="L106"/>
  <c r="U146"/>
  <c r="L190"/>
  <c r="R11"/>
  <c r="F19"/>
  <c r="D11"/>
  <c r="G91"/>
  <c r="G89" s="1"/>
  <c r="V139"/>
  <c r="V138" s="1"/>
  <c r="V11" s="1"/>
  <c r="G156"/>
  <c r="G154" s="1"/>
  <c r="P191"/>
  <c r="P189" s="1"/>
  <c r="P11" s="1"/>
  <c r="G195"/>
  <c r="G189" s="1"/>
  <c r="L189"/>
  <c r="E18"/>
  <c r="L71"/>
  <c r="L58" s="1"/>
  <c r="J11"/>
  <c r="H18"/>
  <c r="H11" s="1"/>
  <c r="Z11" s="1"/>
  <c r="L19"/>
  <c r="G19"/>
  <c r="G18" s="1"/>
  <c r="U11"/>
  <c r="G14"/>
  <c r="W19"/>
  <c r="G58"/>
  <c r="L154"/>
  <c r="K154"/>
  <c r="E89"/>
  <c r="E11" s="1"/>
  <c r="G113"/>
  <c r="C19"/>
  <c r="C18" s="1"/>
  <c r="C11" s="1"/>
  <c r="E75"/>
  <c r="W75" s="1"/>
  <c r="K15"/>
  <c r="K106"/>
  <c r="X18" l="1"/>
  <c r="W18"/>
  <c r="F11"/>
  <c r="F13"/>
  <c r="L11"/>
  <c r="L18"/>
  <c r="G11"/>
  <c r="W11"/>
  <c r="Y11"/>
  <c r="Y13" s="1"/>
  <c r="K13"/>
  <c r="K11"/>
  <c r="L14"/>
</calcChain>
</file>

<file path=xl/sharedStrings.xml><?xml version="1.0" encoding="utf-8"?>
<sst xmlns="http://schemas.openxmlformats.org/spreadsheetml/2006/main" count="249" uniqueCount="196">
  <si>
    <t>2025 год</t>
  </si>
  <si>
    <t>2026 год</t>
  </si>
  <si>
    <t>2027 год</t>
  </si>
  <si>
    <t xml:space="preserve">    </t>
  </si>
  <si>
    <t>Протяженность</t>
  </si>
  <si>
    <t>в том числе</t>
  </si>
  <si>
    <t>Стоимость ВСЕГО,                   тыс. рублей</t>
  </si>
  <si>
    <t xml:space="preserve">км </t>
  </si>
  <si>
    <t>п.м</t>
  </si>
  <si>
    <t>муници-пальный бюджет</t>
  </si>
  <si>
    <t>областной бюджет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</si>
  <si>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</si>
  <si>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 xml:space="preserve"> </t>
  </si>
  <si>
    <t>Отремонтировано автодорог и мостов местного значения</t>
  </si>
  <si>
    <t>ВСЕГО</t>
  </si>
  <si>
    <t>в том числе:</t>
  </si>
  <si>
    <t>субсидии из областного бюджета</t>
  </si>
  <si>
    <t>средства  бюджетов муниципальных образований</t>
  </si>
  <si>
    <t>Алексеевский муниципальный округ</t>
  </si>
  <si>
    <t xml:space="preserve">   </t>
  </si>
  <si>
    <t>МКР ИЖС «Майский - 8»</t>
  </si>
  <si>
    <t>МКР ИЖС «Княжеский»</t>
  </si>
  <si>
    <t>МКР ИЖС «Лесной»</t>
  </si>
  <si>
    <t>МКР ИЖС «Новосадовый - 41», проезды</t>
  </si>
  <si>
    <t>МКР ИЖС «Пушкарное - 78» (2-я очередь)</t>
  </si>
  <si>
    <t>МКР ИЖС «Стрелецкое - 73/1»</t>
  </si>
  <si>
    <t>МКР ИЖС «Стрелецкое - 73/2 (2-я очередь)»</t>
  </si>
  <si>
    <t>Ремонт автодорог в МКР ИЖС, в том числе</t>
  </si>
  <si>
    <t>МКР ИЖС «Новосадовый - 41», «Новые сады»</t>
  </si>
  <si>
    <t>МКР ИЖС «Стрелецкое - 83»</t>
  </si>
  <si>
    <t>п. Новосадовый, МКР ИЖС «Новосадовый - 26»,      ул. Тенистая</t>
  </si>
  <si>
    <t>п. Борисовка, ул. Советская</t>
  </si>
  <si>
    <t>Валуйский муниципальный округ</t>
  </si>
  <si>
    <t>Вейделевский район</t>
  </si>
  <si>
    <t>Капитальный ремонт автодороги  ул. Ленина -              ул. Нестерова, п. Волоконовка</t>
  </si>
  <si>
    <t>Грайворонский муниципальный округ</t>
  </si>
  <si>
    <t>Губкинский городской округ</t>
  </si>
  <si>
    <t>г. Грайворон, ул. Пролетарская</t>
  </si>
  <si>
    <t xml:space="preserve">г. Грайворон, ул. Горького </t>
  </si>
  <si>
    <t xml:space="preserve">  </t>
  </si>
  <si>
    <t xml:space="preserve">Капитальный ремонт подъездной дороги                      к кладбищу в х. Миндоловка </t>
  </si>
  <si>
    <t>Ремонт автодороги от ул. Новая с. Большое                  до ул. Кривой рог с. Старый Редкодуб</t>
  </si>
  <si>
    <t>с. Лесное Уколово, I очередь</t>
  </si>
  <si>
    <t>с. Арнаутово, ул. Победы</t>
  </si>
  <si>
    <t>с. Казацкое, ул. Заречная</t>
  </si>
  <si>
    <t>г. Бирюч, ул. Советская</t>
  </si>
  <si>
    <t>г. Бирюч, ул. Ямская</t>
  </si>
  <si>
    <t>г. Бирюч, ул. Чайковского</t>
  </si>
  <si>
    <t>г. Бирюч, ул. Заводская</t>
  </si>
  <si>
    <t>г. Бирюч, ул. Большевистская</t>
  </si>
  <si>
    <t>с. Раздорное, ул. Раздорная</t>
  </si>
  <si>
    <t>с. Горовое, ул. Мира</t>
  </si>
  <si>
    <t>х. Котляров, ул. Центральная</t>
  </si>
  <si>
    <t>с. Ливенка, ул. Подлес</t>
  </si>
  <si>
    <t>с. Ливенка, ул. Советская</t>
  </si>
  <si>
    <t>с. Ливенка, ул. Заводская</t>
  </si>
  <si>
    <t>п. Красная Яруга, ул. Набережная - Дальневосточная</t>
  </si>
  <si>
    <t>с. Илек-Пеньковка, ул. Молодежная</t>
  </si>
  <si>
    <t>с. Илек-Пеньковка, ул. Школьная</t>
  </si>
  <si>
    <t>х. Вязовской, ул. Трудовая</t>
  </si>
  <si>
    <t xml:space="preserve">Капитальный ремонт автодороги по ул. Парковая         в п. Красная Яруга </t>
  </si>
  <si>
    <t>Новооскольский городской округ</t>
  </si>
  <si>
    <t>г. Новый Оскол, ул. Успенская - ул. Кирова</t>
  </si>
  <si>
    <t xml:space="preserve">Капитальный ремонт моста в г. Новый Оскол,                   ул. 1 Мая </t>
  </si>
  <si>
    <t>с. Русская Березовка</t>
  </si>
  <si>
    <t>п. Ракитное, ул. Первомайская</t>
  </si>
  <si>
    <t>п. Ракитное, ул. Московская</t>
  </si>
  <si>
    <t>п. Пролетарский, ул. Октябрьская, ул. Лесная,               пер. 8 Проезд, пер. 9 Проезд, пер. Советский</t>
  </si>
  <si>
    <t>с. Ворсклица</t>
  </si>
  <si>
    <t>с. Солдатское, ул. Садовая, ул. Молочная</t>
  </si>
  <si>
    <t>с. Новоленинское</t>
  </si>
  <si>
    <t>Ровеньский район</t>
  </si>
  <si>
    <t>Старооскольский городской округ</t>
  </si>
  <si>
    <t xml:space="preserve">           </t>
  </si>
  <si>
    <t>Капитальный ремонт улично - дорожной сети городского округа, в том числе</t>
  </si>
  <si>
    <t>п. Чернянка, ул. Есенина</t>
  </si>
  <si>
    <t>Яковлевский муниципальный округ</t>
  </si>
  <si>
    <t>г. Белгород</t>
  </si>
  <si>
    <t>Стоимость              ВСЕГО,        тыс. рублей</t>
  </si>
  <si>
    <t>субсидии           из областного бюджета</t>
  </si>
  <si>
    <t>Стоимость               ВСЕГО,        тыс. рублей</t>
  </si>
  <si>
    <t>субсидии      из областного бюджета</t>
  </si>
  <si>
    <t>Стоимость             ВСЕГО,         тыс. рублей</t>
  </si>
  <si>
    <t>субсидии            из областного бюджета</t>
  </si>
  <si>
    <t xml:space="preserve">Капитальный ремонт автодороги  по ул. Полевая             в с. Веселое </t>
  </si>
  <si>
    <t>Капитальный ремонт подъезда к детскому саду «Теремок», с. Веселое</t>
  </si>
  <si>
    <t>с. Холодное, ул. Родниковая</t>
  </si>
  <si>
    <t xml:space="preserve">Капитальный ремонт мостовых сооружений                             и путепроводов в г. Белгороде. Город Белгород, мост через р. Везелка по ул. Н. Чумичова </t>
  </si>
  <si>
    <t>Капитальный ремонт пр. Ватутина от ул. 5 Августа      до ул. Князя Трубецкого в г. Белгороде (2 этап)</t>
  </si>
  <si>
    <t>Капитальный ремонт путепровода через ж/д пути по ул. Михайловское шоссе в г. Белгороде</t>
  </si>
  <si>
    <t>Капитальный ремонт автодорог в МКР ИЖС,                    в том числе</t>
  </si>
  <si>
    <t>Капитальный ремонт автодороги по ул. Щорса                  в г. Валуйки</t>
  </si>
  <si>
    <t>Капитальный ремонт автодороги по ул. Никольская                             в г. Валуйки</t>
  </si>
  <si>
    <t xml:space="preserve">Капитальный ремонт автодороги по ул. Кольцевая                                       в с. Принцевка </t>
  </si>
  <si>
    <t>Капитальный ремонт автодороги  по ул. Подгорная                      в с. Черменевка</t>
  </si>
  <si>
    <t>с. Сорокино, ул. Тракторная, ул. Дачная,                                                  п. Аксеновка, ул. Песочная</t>
  </si>
  <si>
    <t>Капитальный ремонт автомобильных дорог                   в микрорайоне ИЖС  «Строитель» с. Незнамово                                            (с устройством наружного освещения)</t>
  </si>
  <si>
    <t>с. Круглое, ул. Красный Боец</t>
  </si>
  <si>
    <t>с. Камызино, ул. Пролетарская, ул. Горького</t>
  </si>
  <si>
    <t>с. Стрелецкое</t>
  </si>
  <si>
    <t>с. Верхососна</t>
  </si>
  <si>
    <t>с. Засосна</t>
  </si>
  <si>
    <t xml:space="preserve">г. Бирюч, ул. Красных Партизан </t>
  </si>
  <si>
    <t>с. Малиново, ул. Зеленая</t>
  </si>
  <si>
    <t xml:space="preserve">Приложение № 9                                                                                                                                                     к государственной программе Белгородской области                                          «Совершенствование и развитие транспортной системы                                                              и  дорожной сети  Белгородской области»  </t>
  </si>
  <si>
    <t>МКР ИЖС «Тополек», п. Дубовое</t>
  </si>
  <si>
    <t>с. Репное, МКР «Наследие», ул. Геройская</t>
  </si>
  <si>
    <t xml:space="preserve">МКР ИЖС «Стрелецкое 72», ул. Казанская  </t>
  </si>
  <si>
    <r>
      <t xml:space="preserve">МКР ИЖС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Беловское-53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</t>
    </r>
  </si>
  <si>
    <t xml:space="preserve">МКР ИЖС  «Стрелецкое - 23А», ул. Обьездная </t>
  </si>
  <si>
    <t>МКР ИЖС «Таврово - 8», ул. Лирическая</t>
  </si>
  <si>
    <t xml:space="preserve">МКР  «Таврово - 4», ул. Рабочая </t>
  </si>
  <si>
    <t xml:space="preserve">МКР ИЖС «Северный - 11», ул. Реликтовая </t>
  </si>
  <si>
    <t xml:space="preserve">МКР ИЖС  «Таврово - 5», пер. Абрикосовый 
</t>
  </si>
  <si>
    <t>МКР ИЖС «Стрелецкое-59», ул. Фартовая</t>
  </si>
  <si>
    <t>с. Пушкарное, ул. Народная                                                                                                  подъезд к домам № 2 - № 8</t>
  </si>
  <si>
    <t>с. Пушкарное, ул. Народная                                                                                                                      подъездная дорога к домам № 66 - № 68</t>
  </si>
  <si>
    <t>МКР  ИЖС «Разумное - 81»</t>
  </si>
  <si>
    <t>МКР ИЖС «Новосадовый - 26», ул. Звездная</t>
  </si>
  <si>
    <t>с. Шишино, МКР  ИЖС «Шишино - 39»,                                                       от ул. Харьковская до ул. Рубежная</t>
  </si>
  <si>
    <t xml:space="preserve">с. Драгунское, МКР ИЖС  «Драгунское - 4» </t>
  </si>
  <si>
    <t>МКР ИЖС  «Таврово - 4», ул. Луговая</t>
  </si>
  <si>
    <t>с. Таврово, МКР ИЖС «Таврово - 10»,                                  ул. Рубежная, ул. Звездная</t>
  </si>
  <si>
    <t>МКР ИЖС «Стрелецкое - 83»,  ул.Черникова,               ул. Рубежная, проезды</t>
  </si>
  <si>
    <t xml:space="preserve">с. Беловское, ул. Буханова </t>
  </si>
  <si>
    <t>с. Беломестное, ул. Набережная</t>
  </si>
  <si>
    <t>МКР ИЖС «Таврово - 4», ул. Лесная, 2 а</t>
  </si>
  <si>
    <t>МКР ИЖС «Таврово - 10», пер. Алмазный</t>
  </si>
  <si>
    <t>с. Пушкарное, ул. Белогорье</t>
  </si>
  <si>
    <t>МКР ИЖС «Разумное - 54», ул. Кедровая</t>
  </si>
  <si>
    <t>МКР  ИЖС «Разумное - 71», ул. Рублевская</t>
  </si>
  <si>
    <t>п. Дубовое, ул. Садовая                                                                 на участке от д. № 92 до д. № 102</t>
  </si>
  <si>
    <t xml:space="preserve">с. Ерик,  ул.Магистральная </t>
  </si>
  <si>
    <t>п. Разумное, ул. им. И.Д. Елисеева</t>
  </si>
  <si>
    <t>х. Тараканов (в щебне)</t>
  </si>
  <si>
    <t>с. Стригуны, ул. Ленина</t>
  </si>
  <si>
    <t>с. Малотроицкое, ул. Дружная - ул. Молодежная</t>
  </si>
  <si>
    <t>с. Орлик, ул. Голофеевская</t>
  </si>
  <si>
    <t>с. Волотово, ул. В. Грачевка</t>
  </si>
  <si>
    <t>с. Русская Халань, ул. Луговая</t>
  </si>
  <si>
    <t>с. Ездочное,                                                                                                                      ул. Центральная - ул. Старомасловская</t>
  </si>
  <si>
    <t xml:space="preserve">с. Новоречье </t>
  </si>
  <si>
    <t>п. Чернянка</t>
  </si>
  <si>
    <t>с. Лозное, ул. им. Е.П. Шевелева</t>
  </si>
  <si>
    <t>Ремонт улично-дорожной сети муниципального округа, в том числе</t>
  </si>
  <si>
    <t>Шебекинский муниципальный округ</t>
  </si>
  <si>
    <t>Ремонт улично-дорожной сети муниципального округа</t>
  </si>
  <si>
    <r>
      <t xml:space="preserve">МКР ИЖС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Севрюково, 62.25», ул. Раздольная,               ул. Мира, ул. Славы, ул. Привольная</t>
    </r>
  </si>
  <si>
    <r>
      <t xml:space="preserve">МКР ИЖС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Комсомольский - 50</t>
    </r>
    <r>
      <rPr>
        <sz val="14"/>
        <rFont val="Calibri"/>
        <family val="2"/>
        <charset val="204"/>
      </rPr>
      <t xml:space="preserve">», </t>
    </r>
    <r>
      <rPr>
        <sz val="14"/>
        <rFont val="Times New Roman"/>
        <family val="1"/>
        <charset val="204"/>
      </rPr>
      <t>ул. Весенняя,                 ул. Цветочная, ул. Береговая, пер. Береговой,                 ул. Ягодная, пер. Ягодный, ул. Озерная,                             пер. Озерный</t>
    </r>
  </si>
  <si>
    <t>с. Драгунское,  МКР  ИЖС «Садовый»,                            ул. Некрасова, проезд между ул. Некрасова                               и ул. Пушкина, ул. Овражная</t>
  </si>
  <si>
    <t>МКР ИЖС «Северный-20, 20А», ул. Гоголя,                  ул. Славянская, ул. Знаменская,  ул. Кольцевая,                  ул. Малиновая</t>
  </si>
  <si>
    <t>с.Ближняя Игуменка,                                                             МКР ИЖС «Ближняя Игуменка - 1.19»,                         ул. Ягодная, от ул. Голубые Дали до ул. Песчаная</t>
  </si>
  <si>
    <t>с. Беленихино, ул. Ватутина</t>
  </si>
  <si>
    <t>с. Верхнее Кузькино, ул. Речная</t>
  </si>
  <si>
    <t>с. Русская Халань, пер. 5-й Центральный</t>
  </si>
  <si>
    <t>Капитальный ремонт улично-дорожной сети                       с. Остроухово</t>
  </si>
  <si>
    <t>Ремонт мостов через реку Локня в с. Красный Куток</t>
  </si>
  <si>
    <t xml:space="preserve">Ремонт автодороги от с. Поминово до с. Гладково </t>
  </si>
  <si>
    <t>Капитальный ремонт улично-дорожной сети округа, в том числе</t>
  </si>
  <si>
    <t>№    п/п</t>
  </si>
  <si>
    <t xml:space="preserve">с. Дальняя Игуменка, МКР ИЖС «Игуменка - 79» </t>
  </si>
  <si>
    <t xml:space="preserve"> Перечень объектов капитального ремонта и ремонта автодорог местного значения и искусственных сооружений на них в Белгородской области на 2025 - 2027 годы    </t>
  </si>
  <si>
    <t xml:space="preserve">Ремонт моста через ручей на ул. Привокзальная           в с. Беленькое </t>
  </si>
  <si>
    <t>с. Бехтеевка, ул. Калинина (от ул. Зеленой                                       до ул. Ворошилова)</t>
  </si>
  <si>
    <t>Ремонт улично-дорожной сети города</t>
  </si>
  <si>
    <t xml:space="preserve">Капитальный ремонт улично-дорожной сети города, в том числе </t>
  </si>
  <si>
    <t>Ивнянский муниципальный округ</t>
  </si>
  <si>
    <t>Корочанский муниципальный округ</t>
  </si>
  <si>
    <t>Красненский муниципальный округ</t>
  </si>
  <si>
    <t>Красногвардейский муниципальный округ</t>
  </si>
  <si>
    <t>Волоконовский муниципальный округ</t>
  </si>
  <si>
    <t>Борисовский муниципальный округ</t>
  </si>
  <si>
    <t>Белгородский муниципальный округ</t>
  </si>
  <si>
    <t>Краснояружский  муниципальный округ</t>
  </si>
  <si>
    <t>Прохоровский муниципальный округ</t>
  </si>
  <si>
    <t>Ракитянский муниципальный округ</t>
  </si>
  <si>
    <t>Чернянский муниципальный округ</t>
  </si>
  <si>
    <t>п. Прохоровка, ул. Правды</t>
  </si>
  <si>
    <t>Капитальный ремонт автодороги по ул. Северо - Донецкая от ул. Волчанская до центрального пляжа в г. Белгороде</t>
  </si>
  <si>
    <t>Министр автомобильных дорог и транспорта Белгородской области</t>
  </si>
  <si>
    <t>С.В. Евтушенко</t>
  </si>
  <si>
    <t>Капитальный ремонт ул. Преображенская                                           в г. Белгороде (1 - й этап: от ул. Вокзальная                               до ул. Кн. Трубецкого)</t>
  </si>
  <si>
    <t>Капитальный ремонт проезда в районе автодороги Таврово - Соломино - Разумное в г. Белгороде</t>
  </si>
  <si>
    <t>п. Ракитное, пер. Пролетарский</t>
  </si>
  <si>
    <t>п. Северный, ул. Магистральная (с уширением проезжей части на 1 полосу)</t>
  </si>
  <si>
    <t>МКР ИЖС  «Беловское - 53»</t>
  </si>
  <si>
    <t>МКР ИЖС «Крутой Лог - 24 а», ул. Абрикосовая</t>
  </si>
  <si>
    <t>МКР ИЖС «Крутой Лог - 24 а», ул. Каштановая</t>
  </si>
  <si>
    <t>п. Разумное, ул. Народная</t>
  </si>
  <si>
    <t>МКР ИЖС «Стрелецкое - 83»,  ул. Рыжкова,                   ул. 252 Стрелковой Дивизии</t>
  </si>
  <si>
    <t>МКР ИЖС «Комсомольский - 49», ул. Вишневая</t>
  </si>
  <si>
    <t>п. Таврово - 2, пер. Восточный</t>
  </si>
  <si>
    <t xml:space="preserve">     Наименование городских  и муниципальных округов, поселений, населенных пунктов</t>
  </si>
  <si>
    <t>МКР ИЖС  «Севрюково, 62.25», ул. Грушевая -                     ул. Малиновая</t>
  </si>
  <si>
    <t>Ремонт улично-дорожной сети городского округа,        в том числе</t>
  </si>
  <si>
    <t>Капитальный ремонт по ул. Чапаева от дома  № 73                   до дома № 79 в с. Ливенка</t>
  </si>
</sst>
</file>

<file path=xl/styles.xml><?xml version="1.0" encoding="utf-8"?>
<styleSheet xmlns="http://schemas.openxmlformats.org/spreadsheetml/2006/main">
  <numFmts count="9">
    <numFmt numFmtId="164" formatCode="#,##0.0"/>
    <numFmt numFmtId="165" formatCode="0.0"/>
    <numFmt numFmtId="166" formatCode="#,##0.000"/>
    <numFmt numFmtId="167" formatCode="#,##0_р_."/>
    <numFmt numFmtId="168" formatCode="#,##0.0_р_."/>
    <numFmt numFmtId="169" formatCode="#,##0.00000"/>
    <numFmt numFmtId="170" formatCode="#,##0.000_р_."/>
    <numFmt numFmtId="171" formatCode="0.000"/>
    <numFmt numFmtId="172" formatCode="#,##0.000000"/>
  </numFmts>
  <fonts count="23">
    <font>
      <sz val="10"/>
      <name val="Arial"/>
      <charset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4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239">
    <xf numFmtId="0" fontId="0" fillId="0" borderId="0" xfId="0"/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/>
    <xf numFmtId="0" fontId="0" fillId="0" borderId="0" xfId="0" applyFont="1" applyAlignment="1" applyProtection="1"/>
    <xf numFmtId="0" fontId="4" fillId="0" borderId="0" xfId="5" applyFont="1" applyBorder="1" applyAlignment="1" applyProtection="1">
      <alignment horizontal="center" vertical="center" wrapText="1"/>
    </xf>
    <xf numFmtId="0" fontId="4" fillId="0" borderId="0" xfId="5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0" fillId="0" borderId="0" xfId="5" applyFont="1" applyBorder="1" applyAlignment="1" applyProtection="1"/>
    <xf numFmtId="0" fontId="0" fillId="0" borderId="0" xfId="0" applyFont="1" applyBorder="1" applyAlignment="1" applyProtection="1"/>
    <xf numFmtId="0" fontId="0" fillId="0" borderId="1" xfId="0" applyFont="1" applyBorder="1" applyAlignment="1" applyProtection="1"/>
    <xf numFmtId="0" fontId="8" fillId="0" borderId="0" xfId="0" applyFont="1" applyAlignment="1" applyProtection="1"/>
    <xf numFmtId="0" fontId="9" fillId="0" borderId="0" xfId="0" applyFont="1" applyAlignment="1" applyProtection="1">
      <alignment horizontal="center"/>
    </xf>
    <xf numFmtId="0" fontId="7" fillId="0" borderId="12" xfId="5" applyFont="1" applyBorder="1" applyAlignment="1" applyProtection="1">
      <alignment horizontal="center" vertical="center" wrapText="1"/>
    </xf>
    <xf numFmtId="0" fontId="7" fillId="0" borderId="13" xfId="5" applyFont="1" applyBorder="1" applyAlignment="1" applyProtection="1">
      <alignment horizontal="center" vertical="center" wrapText="1"/>
    </xf>
    <xf numFmtId="0" fontId="7" fillId="0" borderId="14" xfId="5" applyFont="1" applyBorder="1" applyAlignment="1" applyProtection="1">
      <alignment horizontal="center" vertical="center" wrapText="1"/>
    </xf>
    <xf numFmtId="0" fontId="4" fillId="0" borderId="15" xfId="5" applyFont="1" applyBorder="1" applyAlignment="1" applyProtection="1">
      <alignment horizontal="center" vertical="center" wrapText="1"/>
    </xf>
    <xf numFmtId="0" fontId="4" fillId="0" borderId="16" xfId="5" applyFont="1" applyBorder="1" applyAlignment="1" applyProtection="1">
      <alignment horizontal="center" vertical="center" wrapText="1"/>
    </xf>
    <xf numFmtId="0" fontId="4" fillId="0" borderId="17" xfId="5" applyFont="1" applyBorder="1" applyAlignment="1" applyProtection="1">
      <alignment horizontal="center" vertical="center" wrapText="1"/>
    </xf>
    <xf numFmtId="0" fontId="4" fillId="0" borderId="18" xfId="5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1" fontId="5" fillId="0" borderId="20" xfId="3" applyNumberFormat="1" applyFont="1" applyBorder="1" applyAlignment="1" applyProtection="1">
      <alignment horizontal="center" vertical="center" wrapText="1"/>
    </xf>
    <xf numFmtId="0" fontId="5" fillId="0" borderId="20" xfId="5" applyFont="1" applyBorder="1" applyAlignment="1" applyProtection="1">
      <alignment horizontal="center" vertical="center" wrapText="1"/>
    </xf>
    <xf numFmtId="0" fontId="5" fillId="0" borderId="7" xfId="5" applyFont="1" applyBorder="1" applyAlignment="1" applyProtection="1">
      <alignment horizontal="left" vertical="center" wrapText="1"/>
    </xf>
    <xf numFmtId="164" fontId="5" fillId="0" borderId="7" xfId="5" applyNumberFormat="1" applyFont="1" applyBorder="1" applyAlignment="1" applyProtection="1">
      <alignment horizontal="center" vertical="center" wrapText="1"/>
    </xf>
    <xf numFmtId="164" fontId="5" fillId="0" borderId="8" xfId="5" applyNumberFormat="1" applyFont="1" applyBorder="1" applyAlignment="1" applyProtection="1">
      <alignment horizontal="center" vertical="center" wrapText="1"/>
    </xf>
    <xf numFmtId="164" fontId="5" fillId="0" borderId="0" xfId="5" applyNumberFormat="1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/>
    </xf>
    <xf numFmtId="0" fontId="4" fillId="0" borderId="21" xfId="5" applyFont="1" applyBorder="1" applyAlignment="1" applyProtection="1">
      <alignment horizontal="center" vertical="center" wrapText="1"/>
    </xf>
    <xf numFmtId="0" fontId="12" fillId="0" borderId="22" xfId="5" applyFont="1" applyBorder="1" applyAlignment="1" applyProtection="1">
      <alignment vertical="center" wrapText="1"/>
    </xf>
    <xf numFmtId="0" fontId="0" fillId="0" borderId="23" xfId="0" applyFont="1" applyBorder="1" applyAlignment="1" applyProtection="1"/>
    <xf numFmtId="0" fontId="0" fillId="0" borderId="25" xfId="0" applyFont="1" applyBorder="1" applyAlignment="1" applyProtection="1"/>
    <xf numFmtId="0" fontId="0" fillId="0" borderId="22" xfId="0" applyFont="1" applyBorder="1" applyAlignment="1" applyProtection="1"/>
    <xf numFmtId="0" fontId="0" fillId="0" borderId="24" xfId="0" applyFont="1" applyBorder="1" applyAlignment="1" applyProtection="1"/>
    <xf numFmtId="0" fontId="13" fillId="0" borderId="26" xfId="5" applyFont="1" applyBorder="1" applyAlignment="1" applyProtection="1">
      <alignment horizontal="center" vertical="center" wrapText="1"/>
    </xf>
    <xf numFmtId="0" fontId="12" fillId="0" borderId="11" xfId="4" applyFont="1" applyBorder="1" applyAlignment="1" applyProtection="1">
      <alignment horizontal="left" vertical="center" wrapText="1"/>
    </xf>
    <xf numFmtId="0" fontId="0" fillId="0" borderId="9" xfId="0" applyFont="1" applyBorder="1" applyAlignment="1" applyProtection="1"/>
    <xf numFmtId="0" fontId="0" fillId="0" borderId="7" xfId="0" applyFont="1" applyBorder="1" applyAlignment="1" applyProtection="1"/>
    <xf numFmtId="0" fontId="0" fillId="0" borderId="11" xfId="0" applyFont="1" applyBorder="1" applyAlignment="1" applyProtection="1"/>
    <xf numFmtId="0" fontId="0" fillId="0" borderId="8" xfId="0" applyFont="1" applyBorder="1" applyAlignment="1" applyProtection="1"/>
    <xf numFmtId="166" fontId="14" fillId="0" borderId="7" xfId="0" applyNumberFormat="1" applyFont="1" applyBorder="1" applyAlignment="1" applyProtection="1"/>
    <xf numFmtId="3" fontId="10" fillId="0" borderId="9" xfId="5" applyNumberFormat="1" applyFont="1" applyBorder="1" applyAlignment="1" applyProtection="1">
      <alignment horizontal="center" vertical="center" wrapText="1"/>
    </xf>
    <xf numFmtId="3" fontId="10" fillId="0" borderId="7" xfId="5" applyNumberFormat="1" applyFont="1" applyBorder="1" applyAlignment="1" applyProtection="1">
      <alignment horizontal="center" vertical="center" wrapText="1"/>
    </xf>
    <xf numFmtId="3" fontId="10" fillId="0" borderId="11" xfId="5" applyNumberFormat="1" applyFont="1" applyBorder="1" applyAlignment="1" applyProtection="1">
      <alignment horizontal="center" vertical="center" wrapText="1"/>
    </xf>
    <xf numFmtId="0" fontId="5" fillId="0" borderId="11" xfId="4" applyFont="1" applyBorder="1" applyAlignment="1" applyProtection="1">
      <alignment horizontal="center" vertical="center" wrapText="1"/>
    </xf>
    <xf numFmtId="164" fontId="10" fillId="0" borderId="7" xfId="5" applyNumberFormat="1" applyFont="1" applyBorder="1" applyAlignment="1" applyProtection="1">
      <alignment horizontal="center" vertical="center" wrapText="1"/>
    </xf>
    <xf numFmtId="164" fontId="10" fillId="0" borderId="11" xfId="5" applyNumberFormat="1" applyFont="1" applyBorder="1" applyAlignment="1" applyProtection="1">
      <alignment horizontal="center" vertical="center" wrapText="1"/>
    </xf>
    <xf numFmtId="164" fontId="10" fillId="0" borderId="8" xfId="5" applyNumberFormat="1" applyFont="1" applyBorder="1" applyAlignment="1" applyProtection="1">
      <alignment horizontal="center" vertical="center" wrapText="1"/>
    </xf>
    <xf numFmtId="164" fontId="10" fillId="0" borderId="9" xfId="5" applyNumberFormat="1" applyFont="1" applyBorder="1" applyAlignment="1" applyProtection="1">
      <alignment horizontal="center" vertical="center" wrapText="1"/>
    </xf>
    <xf numFmtId="3" fontId="10" fillId="0" borderId="0" xfId="5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/>
    </xf>
    <xf numFmtId="0" fontId="4" fillId="0" borderId="26" xfId="5" applyFont="1" applyBorder="1" applyAlignment="1" applyProtection="1">
      <alignment horizontal="center" vertical="center" wrapText="1"/>
    </xf>
    <xf numFmtId="0" fontId="4" fillId="0" borderId="11" xfId="4" applyFont="1" applyBorder="1" applyAlignment="1" applyProtection="1">
      <alignment horizontal="left" vertical="center" wrapText="1"/>
    </xf>
    <xf numFmtId="166" fontId="4" fillId="0" borderId="7" xfId="5" applyNumberFormat="1" applyFont="1" applyBorder="1" applyAlignment="1" applyProtection="1">
      <alignment horizontal="center" vertical="center" wrapText="1"/>
    </xf>
    <xf numFmtId="3" fontId="4" fillId="0" borderId="7" xfId="5" applyNumberFormat="1" applyFont="1" applyBorder="1" applyAlignment="1" applyProtection="1">
      <alignment horizontal="center" vertical="center" wrapText="1"/>
    </xf>
    <xf numFmtId="164" fontId="4" fillId="0" borderId="7" xfId="5" applyNumberFormat="1" applyFont="1" applyBorder="1" applyAlignment="1" applyProtection="1">
      <alignment horizontal="center" vertical="center" wrapText="1"/>
    </xf>
    <xf numFmtId="164" fontId="4" fillId="0" borderId="11" xfId="5" applyNumberFormat="1" applyFont="1" applyBorder="1" applyAlignment="1" applyProtection="1">
      <alignment horizontal="center" vertical="center" wrapText="1"/>
    </xf>
    <xf numFmtId="167" fontId="4" fillId="0" borderId="7" xfId="5" applyNumberFormat="1" applyFont="1" applyBorder="1" applyAlignment="1" applyProtection="1">
      <alignment horizontal="center" vertical="center"/>
    </xf>
    <xf numFmtId="168" fontId="4" fillId="0" borderId="7" xfId="5" applyNumberFormat="1" applyFont="1" applyBorder="1" applyAlignment="1" applyProtection="1">
      <alignment horizontal="center" vertical="center"/>
    </xf>
    <xf numFmtId="164" fontId="4" fillId="0" borderId="8" xfId="5" applyNumberFormat="1" applyFont="1" applyBorder="1" applyAlignment="1" applyProtection="1">
      <alignment horizontal="center" vertical="center" wrapText="1"/>
    </xf>
    <xf numFmtId="166" fontId="4" fillId="0" borderId="9" xfId="5" applyNumberFormat="1" applyFont="1" applyBorder="1" applyAlignment="1" applyProtection="1">
      <alignment horizontal="center" vertical="center" wrapText="1"/>
    </xf>
    <xf numFmtId="164" fontId="4" fillId="0" borderId="9" xfId="5" applyNumberFormat="1" applyFont="1" applyBorder="1" applyAlignment="1" applyProtection="1">
      <alignment horizontal="center" vertical="center" wrapText="1"/>
    </xf>
    <xf numFmtId="166" fontId="10" fillId="0" borderId="7" xfId="5" applyNumberFormat="1" applyFont="1" applyBorder="1" applyAlignment="1" applyProtection="1">
      <alignment horizontal="center" vertical="center" wrapText="1"/>
    </xf>
    <xf numFmtId="166" fontId="10" fillId="0" borderId="0" xfId="5" applyNumberFormat="1" applyFont="1" applyBorder="1" applyAlignment="1" applyProtection="1">
      <alignment horizontal="center" vertical="center" wrapText="1"/>
    </xf>
    <xf numFmtId="166" fontId="0" fillId="0" borderId="9" xfId="0" applyNumberFormat="1" applyFont="1" applyBorder="1" applyAlignment="1" applyProtection="1"/>
    <xf numFmtId="0" fontId="4" fillId="0" borderId="22" xfId="4" applyFont="1" applyBorder="1" applyAlignment="1" applyProtection="1">
      <alignment horizontal="left" vertical="center" wrapText="1"/>
    </xf>
    <xf numFmtId="164" fontId="10" fillId="0" borderId="25" xfId="5" applyNumberFormat="1" applyFont="1" applyBorder="1" applyAlignment="1" applyProtection="1">
      <alignment horizontal="center" vertical="center" wrapText="1"/>
    </xf>
    <xf numFmtId="3" fontId="10" fillId="0" borderId="23" xfId="5" applyNumberFormat="1" applyFont="1" applyBorder="1" applyAlignment="1" applyProtection="1">
      <alignment horizontal="center" vertical="center" wrapText="1"/>
    </xf>
    <xf numFmtId="3" fontId="10" fillId="0" borderId="22" xfId="5" applyNumberFormat="1" applyFont="1" applyBorder="1" applyAlignment="1" applyProtection="1">
      <alignment horizontal="center" vertical="center" wrapText="1"/>
    </xf>
    <xf numFmtId="164" fontId="10" fillId="0" borderId="24" xfId="5" applyNumberFormat="1" applyFont="1" applyBorder="1" applyAlignment="1" applyProtection="1">
      <alignment horizontal="center" vertical="center" wrapText="1"/>
    </xf>
    <xf numFmtId="0" fontId="5" fillId="0" borderId="22" xfId="4" applyFont="1" applyBorder="1" applyAlignment="1" applyProtection="1">
      <alignment horizontal="center" vertical="center" wrapText="1"/>
    </xf>
    <xf numFmtId="168" fontId="10" fillId="0" borderId="7" xfId="5" applyNumberFormat="1" applyFont="1" applyBorder="1" applyAlignment="1" applyProtection="1">
      <alignment horizontal="center" vertical="center"/>
    </xf>
    <xf numFmtId="168" fontId="10" fillId="0" borderId="7" xfId="5" applyNumberFormat="1" applyFont="1" applyBorder="1" applyAlignment="1" applyProtection="1">
      <alignment horizontal="center" vertical="center" wrapText="1"/>
    </xf>
    <xf numFmtId="168" fontId="10" fillId="0" borderId="25" xfId="5" applyNumberFormat="1" applyFont="1" applyBorder="1" applyAlignment="1" applyProtection="1">
      <alignment horizontal="center" vertical="center"/>
    </xf>
    <xf numFmtId="168" fontId="10" fillId="0" borderId="23" xfId="5" applyNumberFormat="1" applyFont="1" applyBorder="1" applyAlignment="1" applyProtection="1">
      <alignment horizontal="center" vertical="center"/>
    </xf>
    <xf numFmtId="168" fontId="10" fillId="0" borderId="22" xfId="5" applyNumberFormat="1" applyFont="1" applyBorder="1" applyAlignment="1" applyProtection="1">
      <alignment horizontal="center" vertical="center"/>
    </xf>
    <xf numFmtId="168" fontId="10" fillId="0" borderId="24" xfId="5" applyNumberFormat="1" applyFont="1" applyBorder="1" applyAlignment="1" applyProtection="1">
      <alignment horizontal="center" vertical="center"/>
    </xf>
    <xf numFmtId="168" fontId="10" fillId="0" borderId="11" xfId="5" applyNumberFormat="1" applyFont="1" applyBorder="1" applyAlignment="1" applyProtection="1">
      <alignment horizontal="center" vertical="center"/>
    </xf>
    <xf numFmtId="0" fontId="0" fillId="0" borderId="7" xfId="5" applyFont="1" applyBorder="1" applyAlignment="1" applyProtection="1"/>
    <xf numFmtId="166" fontId="0" fillId="0" borderId="7" xfId="0" applyNumberFormat="1" applyFont="1" applyBorder="1" applyAlignment="1" applyProtection="1"/>
    <xf numFmtId="166" fontId="0" fillId="0" borderId="11" xfId="0" applyNumberFormat="1" applyFont="1" applyBorder="1" applyAlignment="1" applyProtection="1"/>
    <xf numFmtId="164" fontId="10" fillId="0" borderId="7" xfId="5" applyNumberFormat="1" applyFont="1" applyBorder="1" applyAlignment="1" applyProtection="1">
      <alignment horizontal="center" vertical="center"/>
    </xf>
    <xf numFmtId="164" fontId="0" fillId="0" borderId="0" xfId="0" applyNumberFormat="1" applyFont="1" applyBorder="1" applyAlignment="1" applyProtection="1"/>
    <xf numFmtId="166" fontId="10" fillId="0" borderId="9" xfId="5" applyNumberFormat="1" applyFont="1" applyBorder="1" applyAlignment="1" applyProtection="1">
      <alignment horizontal="center" vertical="center" wrapText="1"/>
    </xf>
    <xf numFmtId="166" fontId="10" fillId="0" borderId="11" xfId="5" applyNumberFormat="1" applyFont="1" applyBorder="1" applyAlignment="1" applyProtection="1">
      <alignment horizontal="center" vertical="center" wrapText="1"/>
    </xf>
    <xf numFmtId="164" fontId="4" fillId="0" borderId="7" xfId="5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 wrapText="1"/>
    </xf>
    <xf numFmtId="0" fontId="4" fillId="0" borderId="11" xfId="5" applyFont="1" applyBorder="1" applyAlignment="1" applyProtection="1">
      <alignment vertical="center" wrapText="1"/>
    </xf>
    <xf numFmtId="165" fontId="10" fillId="0" borderId="9" xfId="5" applyNumberFormat="1" applyFont="1" applyBorder="1" applyAlignment="1" applyProtection="1">
      <alignment horizontal="center" vertical="center"/>
    </xf>
    <xf numFmtId="165" fontId="10" fillId="0" borderId="7" xfId="5" applyNumberFormat="1" applyFont="1" applyBorder="1" applyAlignment="1" applyProtection="1">
      <alignment horizontal="center" vertical="center"/>
    </xf>
    <xf numFmtId="3" fontId="10" fillId="0" borderId="27" xfId="5" applyNumberFormat="1" applyFont="1" applyBorder="1" applyAlignment="1" applyProtection="1">
      <alignment horizontal="center" vertical="center" wrapText="1"/>
    </xf>
    <xf numFmtId="170" fontId="4" fillId="0" borderId="9" xfId="5" applyNumberFormat="1" applyFont="1" applyBorder="1" applyAlignment="1" applyProtection="1">
      <alignment horizontal="center" vertical="center"/>
    </xf>
    <xf numFmtId="170" fontId="4" fillId="0" borderId="7" xfId="5" applyNumberFormat="1" applyFont="1" applyBorder="1" applyAlignment="1" applyProtection="1">
      <alignment horizontal="center" vertical="center"/>
    </xf>
    <xf numFmtId="164" fontId="4" fillId="0" borderId="9" xfId="5" applyNumberFormat="1" applyFont="1" applyBorder="1" applyAlignment="1" applyProtection="1">
      <alignment horizontal="center" vertical="center"/>
    </xf>
    <xf numFmtId="164" fontId="4" fillId="0" borderId="27" xfId="5" applyNumberFormat="1" applyFont="1" applyBorder="1" applyAlignment="1" applyProtection="1">
      <alignment horizontal="center" vertical="center"/>
    </xf>
    <xf numFmtId="0" fontId="10" fillId="0" borderId="11" xfId="4" applyFont="1" applyBorder="1" applyAlignment="1" applyProtection="1">
      <alignment horizontal="left" vertical="center" wrapText="1"/>
    </xf>
    <xf numFmtId="3" fontId="10" fillId="0" borderId="8" xfId="5" applyNumberFormat="1" applyFont="1" applyBorder="1" applyAlignment="1" applyProtection="1">
      <alignment horizontal="center" vertical="center" wrapText="1"/>
    </xf>
    <xf numFmtId="171" fontId="10" fillId="0" borderId="9" xfId="5" applyNumberFormat="1" applyFont="1" applyBorder="1" applyAlignment="1" applyProtection="1">
      <alignment horizontal="center" vertical="center"/>
    </xf>
    <xf numFmtId="0" fontId="10" fillId="0" borderId="26" xfId="5" applyFont="1" applyBorder="1" applyAlignment="1" applyProtection="1">
      <alignment horizontal="center" vertical="center" wrapText="1"/>
    </xf>
    <xf numFmtId="166" fontId="16" fillId="0" borderId="7" xfId="0" applyNumberFormat="1" applyFont="1" applyBorder="1" applyAlignment="1" applyProtection="1"/>
    <xf numFmtId="166" fontId="16" fillId="0" borderId="9" xfId="0" applyNumberFormat="1" applyFont="1" applyBorder="1" applyAlignment="1" applyProtection="1"/>
    <xf numFmtId="166" fontId="16" fillId="0" borderId="11" xfId="0" applyNumberFormat="1" applyFont="1" applyBorder="1" applyAlignment="1" applyProtection="1"/>
    <xf numFmtId="164" fontId="0" fillId="0" borderId="7" xfId="0" applyNumberFormat="1" applyFont="1" applyBorder="1" applyAlignment="1" applyProtection="1"/>
    <xf numFmtId="164" fontId="0" fillId="0" borderId="11" xfId="0" applyNumberFormat="1" applyFont="1" applyBorder="1" applyAlignment="1" applyProtection="1"/>
    <xf numFmtId="164" fontId="0" fillId="0" borderId="8" xfId="0" applyNumberFormat="1" applyFont="1" applyBorder="1" applyAlignment="1" applyProtection="1"/>
    <xf numFmtId="0" fontId="8" fillId="0" borderId="7" xfId="0" applyFont="1" applyBorder="1" applyAlignment="1" applyProtection="1"/>
    <xf numFmtId="165" fontId="10" fillId="0" borderId="7" xfId="5" applyNumberFormat="1" applyFont="1" applyBorder="1" applyAlignment="1" applyProtection="1">
      <alignment horizontal="center" vertical="center" wrapText="1"/>
    </xf>
    <xf numFmtId="164" fontId="10" fillId="0" borderId="7" xfId="4" applyNumberFormat="1" applyFont="1" applyBorder="1" applyAlignment="1" applyProtection="1">
      <alignment horizontal="center" vertical="center" wrapText="1"/>
    </xf>
    <xf numFmtId="164" fontId="10" fillId="0" borderId="0" xfId="5" applyNumberFormat="1" applyFont="1" applyBorder="1" applyAlignment="1" applyProtection="1">
      <alignment horizontal="center" vertical="center" wrapText="1"/>
    </xf>
    <xf numFmtId="166" fontId="0" fillId="0" borderId="28" xfId="0" applyNumberFormat="1" applyFont="1" applyBorder="1" applyAlignment="1" applyProtection="1"/>
    <xf numFmtId="164" fontId="4" fillId="0" borderId="7" xfId="4" applyNumberFormat="1" applyFont="1" applyBorder="1" applyAlignment="1" applyProtection="1">
      <alignment horizontal="center" vertical="center" wrapText="1"/>
    </xf>
    <xf numFmtId="171" fontId="4" fillId="0" borderId="7" xfId="5" applyNumberFormat="1" applyFont="1" applyBorder="1" applyAlignment="1" applyProtection="1">
      <alignment horizontal="center" vertical="center" wrapText="1"/>
    </xf>
    <xf numFmtId="166" fontId="10" fillId="0" borderId="28" xfId="5" applyNumberFormat="1" applyFont="1" applyBorder="1" applyAlignment="1" applyProtection="1">
      <alignment horizontal="center" vertical="center" wrapText="1"/>
    </xf>
    <xf numFmtId="164" fontId="10" fillId="0" borderId="28" xfId="5" applyNumberFormat="1" applyFont="1" applyBorder="1" applyAlignment="1" applyProtection="1">
      <alignment horizontal="center" vertical="center" wrapText="1"/>
    </xf>
    <xf numFmtId="0" fontId="0" fillId="0" borderId="29" xfId="0" applyFont="1" applyBorder="1" applyAlignment="1" applyProtection="1"/>
    <xf numFmtId="166" fontId="4" fillId="0" borderId="11" xfId="5" applyNumberFormat="1" applyFont="1" applyBorder="1" applyAlignment="1" applyProtection="1">
      <alignment horizontal="center" vertical="center" wrapText="1"/>
    </xf>
    <xf numFmtId="164" fontId="0" fillId="0" borderId="0" xfId="0" applyNumberFormat="1" applyFont="1" applyAlignment="1" applyProtection="1"/>
    <xf numFmtId="3" fontId="4" fillId="0" borderId="7" xfId="4" applyNumberFormat="1" applyFont="1" applyBorder="1" applyAlignment="1" applyProtection="1">
      <alignment horizontal="center" vertical="center" wrapText="1"/>
    </xf>
    <xf numFmtId="165" fontId="0" fillId="0" borderId="0" xfId="0" applyNumberFormat="1" applyFont="1" applyAlignment="1" applyProtection="1"/>
    <xf numFmtId="0" fontId="4" fillId="0" borderId="22" xfId="5" applyFont="1" applyBorder="1" applyAlignment="1" applyProtection="1">
      <alignment vertical="center" wrapText="1"/>
    </xf>
    <xf numFmtId="164" fontId="10" fillId="0" borderId="10" xfId="5" applyNumberFormat="1" applyFont="1" applyBorder="1" applyAlignment="1" applyProtection="1">
      <alignment horizontal="center" vertical="center" wrapText="1"/>
    </xf>
    <xf numFmtId="0" fontId="4" fillId="0" borderId="31" xfId="5" applyFont="1" applyBorder="1" applyAlignment="1" applyProtection="1">
      <alignment horizontal="center" vertical="center" wrapText="1"/>
    </xf>
    <xf numFmtId="0" fontId="4" fillId="0" borderId="32" xfId="4" applyFont="1" applyBorder="1" applyAlignment="1" applyProtection="1">
      <alignment horizontal="left" vertical="center" wrapText="1"/>
    </xf>
    <xf numFmtId="166" fontId="4" fillId="0" borderId="32" xfId="5" applyNumberFormat="1" applyFont="1" applyBorder="1" applyAlignment="1" applyProtection="1">
      <alignment horizontal="center" vertical="center" wrapText="1"/>
    </xf>
    <xf numFmtId="164" fontId="4" fillId="0" borderId="32" xfId="5" applyNumberFormat="1" applyFont="1" applyBorder="1" applyAlignment="1" applyProtection="1">
      <alignment horizontal="center" vertical="center" wrapText="1"/>
    </xf>
    <xf numFmtId="164" fontId="10" fillId="0" borderId="32" xfId="5" applyNumberFormat="1" applyFont="1" applyBorder="1" applyAlignment="1" applyProtection="1">
      <alignment horizontal="center" vertical="center" wrapText="1"/>
    </xf>
    <xf numFmtId="172" fontId="0" fillId="0" borderId="0" xfId="0" applyNumberFormat="1" applyFont="1" applyAlignment="1" applyProtection="1"/>
    <xf numFmtId="164" fontId="4" fillId="0" borderId="7" xfId="5" applyNumberFormat="1" applyFont="1" applyFill="1" applyBorder="1" applyAlignment="1" applyProtection="1">
      <alignment horizontal="center" vertical="center" wrapText="1"/>
    </xf>
    <xf numFmtId="168" fontId="4" fillId="0" borderId="27" xfId="5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/>
    <xf numFmtId="0" fontId="1" fillId="0" borderId="0" xfId="0" applyFont="1" applyAlignment="1" applyProtection="1"/>
    <xf numFmtId="166" fontId="4" fillId="0" borderId="7" xfId="5" applyNumberFormat="1" applyFont="1" applyFill="1" applyBorder="1" applyAlignment="1" applyProtection="1">
      <alignment horizontal="center" vertical="center" wrapText="1"/>
    </xf>
    <xf numFmtId="171" fontId="4" fillId="0" borderId="7" xfId="5" applyNumberFormat="1" applyFont="1" applyFill="1" applyBorder="1" applyAlignment="1" applyProtection="1">
      <alignment horizontal="center" vertical="center" wrapText="1"/>
    </xf>
    <xf numFmtId="0" fontId="4" fillId="0" borderId="34" xfId="5" applyFont="1" applyBorder="1" applyAlignment="1" applyProtection="1">
      <alignment horizontal="center" vertical="center" wrapText="1"/>
    </xf>
    <xf numFmtId="0" fontId="4" fillId="0" borderId="7" xfId="4" applyFont="1" applyBorder="1" applyAlignment="1" applyProtection="1">
      <alignment horizontal="left" vertical="center" wrapText="1"/>
    </xf>
    <xf numFmtId="164" fontId="4" fillId="0" borderId="10" xfId="5" applyNumberFormat="1" applyFont="1" applyBorder="1" applyAlignment="1" applyProtection="1">
      <alignment horizontal="center" vertical="center" wrapText="1"/>
    </xf>
    <xf numFmtId="166" fontId="4" fillId="0" borderId="10" xfId="5" applyNumberFormat="1" applyFont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164" fontId="4" fillId="0" borderId="7" xfId="4" applyNumberFormat="1" applyFont="1" applyFill="1" applyBorder="1" applyAlignment="1" applyProtection="1">
      <alignment horizontal="center" vertical="center" wrapText="1"/>
    </xf>
    <xf numFmtId="164" fontId="10" fillId="0" borderId="7" xfId="5" applyNumberFormat="1" applyFont="1" applyFill="1" applyBorder="1" applyAlignment="1" applyProtection="1">
      <alignment horizontal="center" vertical="center" wrapText="1"/>
    </xf>
    <xf numFmtId="164" fontId="4" fillId="0" borderId="11" xfId="5" applyNumberFormat="1" applyFont="1" applyFill="1" applyBorder="1" applyAlignment="1" applyProtection="1">
      <alignment horizontal="center" vertical="center" wrapText="1"/>
    </xf>
    <xf numFmtId="0" fontId="4" fillId="0" borderId="11" xfId="4" applyFont="1" applyFill="1" applyBorder="1" applyAlignment="1" applyProtection="1">
      <alignment horizontal="left" vertical="center" wrapText="1"/>
    </xf>
    <xf numFmtId="166" fontId="4" fillId="0" borderId="10" xfId="5" applyNumberFormat="1" applyFont="1" applyFill="1" applyBorder="1" applyAlignment="1" applyProtection="1">
      <alignment horizontal="center" vertical="center" wrapText="1"/>
    </xf>
    <xf numFmtId="164" fontId="4" fillId="0" borderId="10" xfId="5" applyNumberFormat="1" applyFont="1" applyFill="1" applyBorder="1" applyAlignment="1" applyProtection="1">
      <alignment horizontal="center" vertical="center" wrapText="1"/>
    </xf>
    <xf numFmtId="164" fontId="4" fillId="0" borderId="13" xfId="5" applyNumberFormat="1" applyFont="1" applyFill="1" applyBorder="1" applyAlignment="1" applyProtection="1">
      <alignment horizontal="center" vertical="center" wrapText="1"/>
    </xf>
    <xf numFmtId="164" fontId="10" fillId="0" borderId="10" xfId="5" applyNumberFormat="1" applyFont="1" applyFill="1" applyBorder="1" applyAlignment="1" applyProtection="1">
      <alignment horizontal="center" vertical="center" wrapText="1"/>
    </xf>
    <xf numFmtId="0" fontId="4" fillId="0" borderId="22" xfId="4" applyFont="1" applyFill="1" applyBorder="1" applyAlignment="1" applyProtection="1">
      <alignment horizontal="left" vertical="center" wrapText="1"/>
    </xf>
    <xf numFmtId="4" fontId="20" fillId="2" borderId="7" xfId="0" applyNumberFormat="1" applyFont="1" applyFill="1" applyBorder="1" applyAlignment="1" applyProtection="1">
      <alignment horizontal="center" vertical="center"/>
    </xf>
    <xf numFmtId="0" fontId="4" fillId="0" borderId="26" xfId="5" applyFont="1" applyFill="1" applyBorder="1" applyAlignment="1" applyProtection="1">
      <alignment horizontal="center" vertical="center" wrapText="1"/>
    </xf>
    <xf numFmtId="0" fontId="10" fillId="0" borderId="11" xfId="4" applyFont="1" applyFill="1" applyBorder="1" applyAlignment="1" applyProtection="1">
      <alignment horizontal="left" vertical="center" wrapText="1"/>
    </xf>
    <xf numFmtId="171" fontId="22" fillId="0" borderId="35" xfId="0" applyNumberFormat="1" applyFont="1" applyFill="1" applyBorder="1" applyAlignment="1" applyProtection="1">
      <alignment horizontal="center" vertical="center" wrapText="1"/>
    </xf>
    <xf numFmtId="4" fontId="20" fillId="0" borderId="35" xfId="0" applyNumberFormat="1" applyFont="1" applyFill="1" applyBorder="1" applyAlignment="1" applyProtection="1">
      <alignment horizontal="center" vertical="center"/>
    </xf>
    <xf numFmtId="171" fontId="4" fillId="0" borderId="35" xfId="0" applyNumberFormat="1" applyFont="1" applyFill="1" applyBorder="1" applyAlignment="1" applyProtection="1">
      <alignment horizontal="center" vertical="center"/>
    </xf>
    <xf numFmtId="0" fontId="4" fillId="0" borderId="30" xfId="5" applyFont="1" applyFill="1" applyBorder="1" applyAlignment="1" applyProtection="1">
      <alignment horizontal="center" vertical="center" wrapText="1"/>
    </xf>
    <xf numFmtId="0" fontId="4" fillId="0" borderId="13" xfId="4" applyFont="1" applyFill="1" applyBorder="1" applyAlignment="1" applyProtection="1">
      <alignment horizontal="left" vertical="center" wrapText="1"/>
    </xf>
    <xf numFmtId="171" fontId="19" fillId="0" borderId="7" xfId="0" applyNumberFormat="1" applyFont="1" applyFill="1" applyBorder="1" applyAlignment="1" applyProtection="1">
      <alignment horizontal="center" vertical="center" wrapText="1"/>
    </xf>
    <xf numFmtId="4" fontId="21" fillId="0" borderId="7" xfId="0" applyNumberFormat="1" applyFont="1" applyFill="1" applyBorder="1" applyAlignment="1" applyProtection="1">
      <alignment horizontal="center" vertical="center" wrapText="1"/>
    </xf>
    <xf numFmtId="0" fontId="4" fillId="0" borderId="21" xfId="5" applyFont="1" applyFill="1" applyBorder="1" applyAlignment="1" applyProtection="1">
      <alignment horizontal="center" vertical="center" wrapText="1"/>
    </xf>
    <xf numFmtId="4" fontId="20" fillId="0" borderId="35" xfId="0" applyNumberFormat="1" applyFont="1" applyFill="1" applyBorder="1" applyAlignment="1" applyProtection="1">
      <alignment horizontal="center" vertical="center" wrapText="1"/>
    </xf>
    <xf numFmtId="170" fontId="10" fillId="0" borderId="0" xfId="5" applyNumberFormat="1" applyFont="1" applyFill="1" applyBorder="1" applyAlignment="1" applyProtection="1">
      <alignment horizontal="center" vertical="center"/>
    </xf>
    <xf numFmtId="0" fontId="4" fillId="0" borderId="20" xfId="5" applyFont="1" applyFill="1" applyBorder="1" applyAlignment="1" applyProtection="1">
      <alignment horizontal="center" vertical="center" wrapText="1"/>
    </xf>
    <xf numFmtId="4" fontId="20" fillId="2" borderId="37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</xf>
    <xf numFmtId="164" fontId="5" fillId="0" borderId="11" xfId="5" applyNumberFormat="1" applyFont="1" applyBorder="1" applyAlignment="1" applyProtection="1">
      <alignment horizontal="center" vertical="center" wrapText="1"/>
    </xf>
    <xf numFmtId="167" fontId="4" fillId="0" borderId="11" xfId="5" applyNumberFormat="1" applyFont="1" applyBorder="1" applyAlignment="1" applyProtection="1">
      <alignment horizontal="center" vertical="center"/>
    </xf>
    <xf numFmtId="168" fontId="10" fillId="0" borderId="11" xfId="5" applyNumberFormat="1" applyFont="1" applyBorder="1" applyAlignment="1" applyProtection="1">
      <alignment horizontal="center" vertical="center" wrapText="1"/>
    </xf>
    <xf numFmtId="164" fontId="10" fillId="0" borderId="11" xfId="5" applyNumberFormat="1" applyFont="1" applyBorder="1" applyAlignment="1" applyProtection="1">
      <alignment horizontal="center" vertical="center"/>
    </xf>
    <xf numFmtId="168" fontId="4" fillId="0" borderId="11" xfId="5" applyNumberFormat="1" applyFont="1" applyBorder="1" applyAlignment="1" applyProtection="1">
      <alignment horizontal="center" vertical="center"/>
    </xf>
    <xf numFmtId="164" fontId="10" fillId="0" borderId="11" xfId="4" applyNumberFormat="1" applyFont="1" applyBorder="1" applyAlignment="1" applyProtection="1">
      <alignment horizontal="center" vertical="center" wrapText="1"/>
    </xf>
    <xf numFmtId="164" fontId="4" fillId="0" borderId="11" xfId="4" applyNumberFormat="1" applyFont="1" applyBorder="1" applyAlignment="1" applyProtection="1">
      <alignment horizontal="center" vertical="center" wrapText="1"/>
    </xf>
    <xf numFmtId="3" fontId="4" fillId="0" borderId="11" xfId="4" applyNumberFormat="1" applyFont="1" applyBorder="1" applyAlignment="1" applyProtection="1">
      <alignment horizontal="center" vertical="center" wrapText="1"/>
    </xf>
    <xf numFmtId="164" fontId="10" fillId="0" borderId="13" xfId="5" applyNumberFormat="1" applyFont="1" applyBorder="1" applyAlignment="1" applyProtection="1">
      <alignment horizontal="center" vertical="center" wrapText="1"/>
    </xf>
    <xf numFmtId="164" fontId="4" fillId="0" borderId="38" xfId="5" applyNumberFormat="1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vertical="center" wrapText="1"/>
    </xf>
    <xf numFmtId="0" fontId="9" fillId="0" borderId="7" xfId="0" applyFont="1" applyBorder="1" applyAlignment="1" applyProtection="1">
      <alignment horizontal="center"/>
    </xf>
    <xf numFmtId="0" fontId="4" fillId="0" borderId="11" xfId="5" applyFont="1" applyFill="1" applyBorder="1" applyAlignment="1" applyProtection="1">
      <alignment vertical="center" wrapText="1"/>
    </xf>
    <xf numFmtId="1" fontId="0" fillId="0" borderId="0" xfId="0" applyNumberFormat="1" applyFont="1" applyBorder="1" applyAlignment="1" applyProtection="1"/>
    <xf numFmtId="0" fontId="5" fillId="0" borderId="11" xfId="4" applyFont="1" applyBorder="1" applyAlignment="1" applyProtection="1">
      <alignment horizontal="left" vertical="center" wrapText="1"/>
    </xf>
    <xf numFmtId="166" fontId="4" fillId="0" borderId="7" xfId="4" applyNumberFormat="1" applyFont="1" applyBorder="1" applyAlignment="1" applyProtection="1">
      <alignment horizontal="center" vertical="center" wrapText="1"/>
    </xf>
    <xf numFmtId="0" fontId="4" fillId="0" borderId="7" xfId="5" applyFont="1" applyBorder="1" applyAlignment="1" applyProtection="1">
      <alignment vertical="center" wrapText="1"/>
    </xf>
    <xf numFmtId="0" fontId="10" fillId="0" borderId="40" xfId="5" applyFont="1" applyBorder="1" applyAlignment="1" applyProtection="1">
      <alignment horizontal="center" vertical="center" wrapText="1"/>
    </xf>
    <xf numFmtId="0" fontId="10" fillId="0" borderId="41" xfId="5" applyFont="1" applyBorder="1" applyAlignment="1" applyProtection="1">
      <alignment horizontal="center" vertical="center" wrapText="1"/>
    </xf>
    <xf numFmtId="0" fontId="10" fillId="0" borderId="42" xfId="5" applyFont="1" applyBorder="1" applyAlignment="1" applyProtection="1">
      <alignment horizontal="center" vertical="center" wrapText="1"/>
    </xf>
    <xf numFmtId="0" fontId="10" fillId="0" borderId="43" xfId="5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vertical="center" wrapText="1"/>
    </xf>
    <xf numFmtId="0" fontId="8" fillId="0" borderId="8" xfId="0" applyFont="1" applyBorder="1" applyAlignment="1" applyProtection="1"/>
    <xf numFmtId="0" fontId="9" fillId="0" borderId="8" xfId="0" applyFont="1" applyBorder="1" applyAlignment="1" applyProtection="1">
      <alignment horizontal="center"/>
    </xf>
    <xf numFmtId="0" fontId="4" fillId="0" borderId="32" xfId="0" applyFont="1" applyBorder="1" applyAlignment="1" applyProtection="1">
      <alignment vertical="center" wrapText="1"/>
    </xf>
    <xf numFmtId="0" fontId="4" fillId="0" borderId="33" xfId="0" applyFont="1" applyBorder="1" applyAlignment="1" applyProtection="1">
      <alignment vertical="center" wrapText="1"/>
    </xf>
    <xf numFmtId="164" fontId="4" fillId="0" borderId="13" xfId="5" applyNumberFormat="1" applyFont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171" fontId="0" fillId="0" borderId="0" xfId="0" applyNumberFormat="1" applyFont="1" applyBorder="1" applyAlignment="1" applyProtection="1"/>
    <xf numFmtId="165" fontId="0" fillId="0" borderId="0" xfId="0" applyNumberFormat="1" applyFont="1" applyBorder="1" applyAlignment="1" applyProtection="1"/>
    <xf numFmtId="164" fontId="5" fillId="0" borderId="0" xfId="5" applyNumberFormat="1" applyFont="1" applyFill="1" applyBorder="1" applyAlignment="1" applyProtection="1">
      <alignment horizontal="center" vertical="center" wrapText="1"/>
    </xf>
    <xf numFmtId="164" fontId="5" fillId="0" borderId="7" xfId="5" applyNumberFormat="1" applyFont="1" applyFill="1" applyBorder="1" applyAlignment="1" applyProtection="1">
      <alignment horizontal="center" vertical="center" wrapText="1"/>
    </xf>
    <xf numFmtId="164" fontId="5" fillId="0" borderId="11" xfId="5" applyNumberFormat="1" applyFont="1" applyFill="1" applyBorder="1" applyAlignment="1" applyProtection="1">
      <alignment horizontal="center" vertical="center" wrapText="1"/>
    </xf>
    <xf numFmtId="164" fontId="12" fillId="0" borderId="7" xfId="5" applyNumberFormat="1" applyFont="1" applyBorder="1" applyAlignment="1" applyProtection="1">
      <alignment horizontal="center" vertical="center" wrapText="1"/>
    </xf>
    <xf numFmtId="165" fontId="12" fillId="0" borderId="7" xfId="5" applyNumberFormat="1" applyFont="1" applyBorder="1" applyAlignment="1" applyProtection="1">
      <alignment horizontal="center" vertical="center" wrapText="1"/>
    </xf>
    <xf numFmtId="164" fontId="12" fillId="0" borderId="11" xfId="5" applyNumberFormat="1" applyFont="1" applyBorder="1" applyAlignment="1" applyProtection="1">
      <alignment horizontal="center" vertical="center" wrapText="1"/>
    </xf>
    <xf numFmtId="3" fontId="12" fillId="0" borderId="7" xfId="5" applyNumberFormat="1" applyFont="1" applyBorder="1" applyAlignment="1" applyProtection="1">
      <alignment horizontal="center" vertical="center" wrapText="1"/>
    </xf>
    <xf numFmtId="166" fontId="10" fillId="0" borderId="7" xfId="5" applyNumberFormat="1" applyFont="1" applyFill="1" applyBorder="1" applyAlignment="1" applyProtection="1">
      <alignment horizontal="center" vertical="center" wrapText="1"/>
    </xf>
    <xf numFmtId="166" fontId="1" fillId="0" borderId="7" xfId="0" applyNumberFormat="1" applyFont="1" applyBorder="1" applyAlignment="1" applyProtection="1"/>
    <xf numFmtId="164" fontId="4" fillId="0" borderId="14" xfId="5" applyNumberFormat="1" applyFont="1" applyBorder="1" applyAlignment="1" applyProtection="1">
      <alignment horizontal="center" vertical="center" wrapText="1"/>
    </xf>
    <xf numFmtId="171" fontId="22" fillId="0" borderId="44" xfId="0" applyNumberFormat="1" applyFont="1" applyFill="1" applyBorder="1" applyAlignment="1" applyProtection="1">
      <alignment horizontal="center" vertical="center" wrapText="1"/>
    </xf>
    <xf numFmtId="4" fontId="20" fillId="0" borderId="44" xfId="0" applyNumberFormat="1" applyFont="1" applyFill="1" applyBorder="1" applyAlignment="1" applyProtection="1">
      <alignment horizontal="center" vertical="center"/>
    </xf>
    <xf numFmtId="164" fontId="4" fillId="0" borderId="23" xfId="5" applyNumberFormat="1" applyFont="1" applyFill="1" applyBorder="1" applyAlignment="1" applyProtection="1">
      <alignment horizontal="center" vertical="center" wrapText="1"/>
    </xf>
    <xf numFmtId="164" fontId="10" fillId="0" borderId="23" xfId="5" applyNumberFormat="1" applyFont="1" applyFill="1" applyBorder="1" applyAlignment="1" applyProtection="1">
      <alignment horizontal="center" vertical="center" wrapText="1"/>
    </xf>
    <xf numFmtId="164" fontId="10" fillId="0" borderId="22" xfId="5" applyNumberFormat="1" applyFont="1" applyBorder="1" applyAlignment="1" applyProtection="1">
      <alignment horizontal="center" vertical="center" wrapText="1"/>
    </xf>
    <xf numFmtId="0" fontId="8" fillId="0" borderId="23" xfId="0" applyFont="1" applyBorder="1" applyAlignment="1" applyProtection="1"/>
    <xf numFmtId="0" fontId="8" fillId="0" borderId="24" xfId="0" applyFont="1" applyBorder="1" applyAlignment="1" applyProtection="1"/>
    <xf numFmtId="171" fontId="22" fillId="0" borderId="37" xfId="0" applyNumberFormat="1" applyFont="1" applyFill="1" applyBorder="1" applyAlignment="1" applyProtection="1">
      <alignment horizontal="center" vertical="center" wrapText="1"/>
    </xf>
    <xf numFmtId="4" fontId="20" fillId="0" borderId="37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171" fontId="22" fillId="0" borderId="36" xfId="0" applyNumberFormat="1" applyFont="1" applyFill="1" applyBorder="1" applyAlignment="1" applyProtection="1">
      <alignment horizontal="center" vertical="center" wrapText="1"/>
    </xf>
    <xf numFmtId="4" fontId="20" fillId="0" borderId="36" xfId="0" applyNumberFormat="1" applyFont="1" applyFill="1" applyBorder="1" applyAlignment="1" applyProtection="1">
      <alignment horizontal="center" vertical="center"/>
    </xf>
    <xf numFmtId="169" fontId="4" fillId="0" borderId="7" xfId="5" applyNumberFormat="1" applyFont="1" applyBorder="1" applyAlignment="1" applyProtection="1">
      <alignment horizontal="center" vertical="center" wrapText="1"/>
    </xf>
    <xf numFmtId="0" fontId="7" fillId="0" borderId="10" xfId="5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0" xfId="5" applyFont="1" applyBorder="1" applyAlignment="1" applyProtection="1">
      <alignment horizontal="center" vertical="center"/>
    </xf>
    <xf numFmtId="0" fontId="6" fillId="0" borderId="0" xfId="5" applyFont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39" xfId="5" applyFont="1" applyBorder="1" applyAlignment="1" applyProtection="1">
      <alignment horizontal="center" vertical="center" wrapText="1"/>
    </xf>
    <xf numFmtId="0" fontId="7" fillId="0" borderId="3" xfId="5" applyFont="1" applyBorder="1" applyAlignment="1" applyProtection="1">
      <alignment horizontal="center" vertical="center" wrapText="1"/>
    </xf>
    <xf numFmtId="0" fontId="7" fillId="0" borderId="17" xfId="5" applyFont="1" applyBorder="1" applyAlignment="1" applyProtection="1">
      <alignment horizontal="center" vertical="center" wrapText="1"/>
    </xf>
    <xf numFmtId="0" fontId="7" fillId="0" borderId="4" xfId="5" applyFont="1" applyBorder="1" applyAlignment="1" applyProtection="1">
      <alignment horizontal="center" vertical="center" wrapText="1"/>
    </xf>
    <xf numFmtId="0" fontId="7" fillId="0" borderId="5" xfId="5" applyFont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 wrapText="1"/>
    </xf>
    <xf numFmtId="0" fontId="7" fillId="0" borderId="9" xfId="5" applyFont="1" applyBorder="1" applyAlignment="1" applyProtection="1">
      <alignment horizontal="center" vertical="center" wrapText="1"/>
    </xf>
    <xf numFmtId="0" fontId="7" fillId="0" borderId="10" xfId="5" applyFont="1" applyBorder="1" applyAlignment="1" applyProtection="1">
      <alignment horizontal="center" vertical="center" wrapText="1"/>
    </xf>
    <xf numFmtId="0" fontId="7" fillId="0" borderId="8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right" vertical="center"/>
    </xf>
    <xf numFmtId="0" fontId="5" fillId="0" borderId="19" xfId="5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left" vertical="center" wrapText="1"/>
    </xf>
  </cellXfs>
  <cellStyles count="7">
    <cellStyle name="Обычный" xfId="0" builtinId="0"/>
    <cellStyle name="Обычный 15" xfId="1"/>
    <cellStyle name="Обычный 2" xfId="2"/>
    <cellStyle name="Обычный_219-пп_Приложение 2" xfId="3"/>
    <cellStyle name="Обычный_ВЫПОЛНЕНИЕ программы ИЖС-2010 год" xfId="4"/>
    <cellStyle name="Стиль 1" xfId="5"/>
    <cellStyle name="Стиль 1 2" xfId="6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B08BC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R210"/>
  <sheetViews>
    <sheetView tabSelected="1" view="pageBreakPreview" topLeftCell="A136" zoomScale="75" zoomScaleNormal="75" zoomScalePageLayoutView="75" workbookViewId="0">
      <selection activeCell="E151" sqref="E151"/>
    </sheetView>
  </sheetViews>
  <sheetFormatPr defaultColWidth="9.140625" defaultRowHeight="18.75"/>
  <cols>
    <col min="1" max="1" width="6.5703125" style="1" customWidth="1"/>
    <col min="2" max="2" width="59.28515625" style="2" customWidth="1"/>
    <col min="3" max="4" width="12" style="2" customWidth="1"/>
    <col min="5" max="5" width="17" style="2" customWidth="1"/>
    <col min="6" max="6" width="18.5703125" style="2" customWidth="1"/>
    <col min="7" max="7" width="15.7109375" style="2" customWidth="1"/>
    <col min="8" max="8" width="12.28515625" style="2" customWidth="1"/>
    <col min="9" max="9" width="9.85546875" style="2" customWidth="1"/>
    <col min="10" max="10" width="18.5703125" style="2" customWidth="1"/>
    <col min="11" max="11" width="19.5703125" style="2" customWidth="1"/>
    <col min="12" max="12" width="15.5703125" style="2" bestFit="1" customWidth="1"/>
    <col min="13" max="14" width="10.28515625" style="2" customWidth="1"/>
    <col min="15" max="16" width="17.140625" style="2" customWidth="1"/>
    <col min="17" max="17" width="14.7109375" style="2" customWidth="1"/>
    <col min="18" max="18" width="9" style="2" hidden="1" customWidth="1"/>
    <col min="19" max="19" width="9.7109375" style="2" hidden="1" customWidth="1"/>
    <col min="20" max="21" width="15.5703125" style="2" hidden="1" customWidth="1"/>
    <col min="22" max="22" width="12.7109375" style="2" hidden="1" customWidth="1"/>
    <col min="23" max="23" width="16.5703125" style="2" customWidth="1"/>
    <col min="24" max="24" width="14.42578125" style="2" customWidth="1"/>
    <col min="25" max="25" width="9.140625" style="2"/>
    <col min="26" max="26" width="17" style="2" customWidth="1"/>
    <col min="27" max="38" width="9.140625" style="2"/>
    <col min="39" max="42" width="9.140625" style="3"/>
    <col min="43" max="16384" width="9.140625" style="4"/>
  </cols>
  <sheetData>
    <row r="1" spans="1:44" ht="83.25" customHeight="1">
      <c r="A1" s="5"/>
      <c r="B1" s="6"/>
      <c r="C1" s="215"/>
      <c r="D1" s="215"/>
      <c r="E1" s="215"/>
      <c r="F1" s="215"/>
      <c r="G1" s="215"/>
      <c r="H1" s="7"/>
      <c r="I1" s="8"/>
      <c r="J1" s="8"/>
      <c r="K1" s="221" t="s">
        <v>104</v>
      </c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4" ht="22.5" customHeight="1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4" ht="42" customHeight="1">
      <c r="A3" s="223" t="s">
        <v>161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4" ht="21" customHeight="1" thickBot="1">
      <c r="A4" s="5"/>
      <c r="B4" s="6"/>
      <c r="C4" s="9"/>
      <c r="D4" s="9"/>
      <c r="E4" s="9"/>
      <c r="F4" s="9"/>
      <c r="G4" s="9"/>
      <c r="H4" s="9"/>
      <c r="I4" s="9"/>
      <c r="J4" s="9"/>
      <c r="K4" s="9"/>
      <c r="L4" s="10"/>
      <c r="M4" s="10"/>
      <c r="N4" s="10"/>
      <c r="O4" s="10"/>
      <c r="P4" s="10"/>
      <c r="Q4" s="10"/>
      <c r="R4" s="11"/>
      <c r="S4" s="11"/>
      <c r="T4" s="11"/>
      <c r="U4" s="11"/>
      <c r="V4" s="11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4" s="12" customFormat="1" ht="27.75" customHeight="1" thickBot="1">
      <c r="A5" s="224" t="s">
        <v>159</v>
      </c>
      <c r="B5" s="226" t="s">
        <v>192</v>
      </c>
      <c r="C5" s="228" t="s">
        <v>0</v>
      </c>
      <c r="D5" s="228"/>
      <c r="E5" s="228"/>
      <c r="F5" s="228"/>
      <c r="G5" s="228"/>
      <c r="H5" s="228" t="s">
        <v>1</v>
      </c>
      <c r="I5" s="228"/>
      <c r="J5" s="228"/>
      <c r="K5" s="228"/>
      <c r="L5" s="228"/>
      <c r="M5" s="229" t="s">
        <v>2</v>
      </c>
      <c r="N5" s="229"/>
      <c r="O5" s="229"/>
      <c r="P5" s="229"/>
      <c r="Q5" s="229"/>
      <c r="R5" s="230" t="s">
        <v>2</v>
      </c>
      <c r="S5" s="230"/>
      <c r="T5" s="230"/>
      <c r="U5" s="230"/>
      <c r="V5" s="230"/>
      <c r="W5" s="4"/>
      <c r="X5" s="4"/>
      <c r="Y5" s="4"/>
      <c r="Z5" s="4"/>
      <c r="AA5" s="4"/>
      <c r="AB5" s="4" t="s">
        <v>3</v>
      </c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s="13" customFormat="1" ht="29.25" customHeight="1" thickBot="1">
      <c r="A6" s="224"/>
      <c r="B6" s="226"/>
      <c r="C6" s="234" t="s">
        <v>4</v>
      </c>
      <c r="D6" s="234"/>
      <c r="E6" s="234" t="s">
        <v>78</v>
      </c>
      <c r="F6" s="234" t="s">
        <v>5</v>
      </c>
      <c r="G6" s="234"/>
      <c r="H6" s="234" t="s">
        <v>4</v>
      </c>
      <c r="I6" s="234"/>
      <c r="J6" s="234" t="s">
        <v>80</v>
      </c>
      <c r="K6" s="234" t="s">
        <v>5</v>
      </c>
      <c r="L6" s="234"/>
      <c r="M6" s="234" t="s">
        <v>4</v>
      </c>
      <c r="N6" s="234"/>
      <c r="O6" s="234" t="s">
        <v>82</v>
      </c>
      <c r="P6" s="233" t="s">
        <v>5</v>
      </c>
      <c r="Q6" s="233"/>
      <c r="R6" s="231" t="s">
        <v>4</v>
      </c>
      <c r="S6" s="231"/>
      <c r="T6" s="232" t="s">
        <v>6</v>
      </c>
      <c r="U6" s="233" t="s">
        <v>5</v>
      </c>
      <c r="V6" s="233"/>
      <c r="W6" s="10"/>
      <c r="X6" s="10"/>
      <c r="Y6" s="10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s="13" customFormat="1" ht="70.5" customHeight="1" thickBot="1">
      <c r="A7" s="225"/>
      <c r="B7" s="227"/>
      <c r="C7" s="219" t="s">
        <v>7</v>
      </c>
      <c r="D7" s="219" t="s">
        <v>8</v>
      </c>
      <c r="E7" s="232"/>
      <c r="F7" s="219" t="s">
        <v>79</v>
      </c>
      <c r="G7" s="219" t="s">
        <v>9</v>
      </c>
      <c r="H7" s="219" t="s">
        <v>7</v>
      </c>
      <c r="I7" s="219" t="s">
        <v>8</v>
      </c>
      <c r="J7" s="232"/>
      <c r="K7" s="219" t="s">
        <v>81</v>
      </c>
      <c r="L7" s="219" t="s">
        <v>9</v>
      </c>
      <c r="M7" s="219" t="s">
        <v>7</v>
      </c>
      <c r="N7" s="219" t="s">
        <v>8</v>
      </c>
      <c r="O7" s="232"/>
      <c r="P7" s="15" t="s">
        <v>83</v>
      </c>
      <c r="Q7" s="16" t="s">
        <v>9</v>
      </c>
      <c r="R7" s="14" t="s">
        <v>7</v>
      </c>
      <c r="S7" s="14" t="s">
        <v>8</v>
      </c>
      <c r="T7" s="232"/>
      <c r="U7" s="15" t="s">
        <v>10</v>
      </c>
      <c r="V7" s="16" t="s">
        <v>9</v>
      </c>
      <c r="W7" s="10"/>
      <c r="X7" s="10"/>
      <c r="Y7" s="10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s="21" customFormat="1" ht="27.75" customHeight="1" thickBot="1">
      <c r="A8" s="183">
        <v>1</v>
      </c>
      <c r="B8" s="184">
        <v>2</v>
      </c>
      <c r="C8" s="184">
        <v>3</v>
      </c>
      <c r="D8" s="184">
        <v>4</v>
      </c>
      <c r="E8" s="184">
        <v>5</v>
      </c>
      <c r="F8" s="184">
        <v>6</v>
      </c>
      <c r="G8" s="184">
        <v>7</v>
      </c>
      <c r="H8" s="184">
        <v>8</v>
      </c>
      <c r="I8" s="184">
        <v>9</v>
      </c>
      <c r="J8" s="184">
        <v>10</v>
      </c>
      <c r="K8" s="184">
        <v>11</v>
      </c>
      <c r="L8" s="184">
        <v>12</v>
      </c>
      <c r="M8" s="184">
        <v>13</v>
      </c>
      <c r="N8" s="184">
        <v>14</v>
      </c>
      <c r="O8" s="184">
        <v>15</v>
      </c>
      <c r="P8" s="185">
        <v>16</v>
      </c>
      <c r="Q8" s="186">
        <v>17</v>
      </c>
      <c r="R8" s="17">
        <v>22</v>
      </c>
      <c r="S8" s="17">
        <v>23</v>
      </c>
      <c r="T8" s="18">
        <v>24</v>
      </c>
      <c r="U8" s="19">
        <v>25</v>
      </c>
      <c r="V8" s="20">
        <v>26</v>
      </c>
      <c r="W8" s="10"/>
      <c r="X8" s="10"/>
      <c r="Y8" s="10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s="22" customFormat="1" ht="40.5" customHeight="1">
      <c r="A9" s="237" t="s">
        <v>11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5"/>
      <c r="S9" s="5"/>
      <c r="T9" s="5"/>
      <c r="U9" s="5"/>
      <c r="V9" s="5"/>
      <c r="W9" s="10"/>
      <c r="X9" s="10"/>
      <c r="Y9" s="10"/>
      <c r="Z9" s="10" t="s">
        <v>12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1:44" s="22" customFormat="1" ht="35.25" customHeight="1">
      <c r="A10" s="23"/>
      <c r="B10" s="238" t="s">
        <v>13</v>
      </c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5"/>
      <c r="S10" s="5"/>
      <c r="T10" s="5"/>
      <c r="U10" s="5"/>
      <c r="V10" s="5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</row>
    <row r="11" spans="1:44" s="29" customFormat="1" ht="32.25" customHeight="1">
      <c r="A11" s="24"/>
      <c r="B11" s="25" t="s">
        <v>14</v>
      </c>
      <c r="C11" s="26">
        <f>C15+C18+C75+C81+C89+C92+C98+C100+C106+C112+C138+C146+C149+C154+C167+C187+C189</f>
        <v>99.292000000000016</v>
      </c>
      <c r="D11" s="26">
        <f>D15+D18+D75+D81+D89+D92+D98+D100+D106+D112+D138+D146+D149+D154+D167+D187+D189</f>
        <v>373</v>
      </c>
      <c r="E11" s="26">
        <f>E15+E18+E75+E81+E89+E92+E98+E100+E106+E112+E138+E146+E149+E154+E167+E187+E189+0.05</f>
        <v>1941557.3233999999</v>
      </c>
      <c r="F11" s="26">
        <f>F15+F18+F75+F81+F89+F92+F98+F100+F106+F112+F138+F146+F149+F154+F167+F187+F189</f>
        <v>1823321.8650079998</v>
      </c>
      <c r="G11" s="26">
        <f>G15+G18+G75+G81+G89+G92+G98+G100+G106+G112+G138+G146+G149+G154+G167+G187+G189</f>
        <v>118235.40839200003</v>
      </c>
      <c r="H11" s="26">
        <f>H15+H18+H75+H81+H89+H92+H98+H100+H106+H112+H138+H146+H149+H154+H167+H172+H185+H187+H189</f>
        <v>98.478300000000004</v>
      </c>
      <c r="I11" s="26">
        <f>I15+I18+I75+I81+I89+I92+I98+I100+I106+I112+I138+I146+I149+I154+I167+I187+I189</f>
        <v>260</v>
      </c>
      <c r="J11" s="26">
        <f>J15+J18+J75+J81+J89+J92+J98+J100+J106+J112+J138+J146+J149+J154+J167+J172+J185+J187+J189</f>
        <v>2829566.4084200002</v>
      </c>
      <c r="K11" s="26">
        <f>K15+K18+K75+K81+K89+K92+K98+K100+K106+K112+K138+K146+K149+K154+K167+K172+K185+K187+K189</f>
        <v>2659103.0186516</v>
      </c>
      <c r="L11" s="166">
        <f>L15+L18+L75+L81+L89+L92+L98+L100+L106+L112+L138+L146+L149+L154+L167+L172+L185+L187+L189</f>
        <v>170463.3890084</v>
      </c>
      <c r="M11" s="26">
        <f>M15+M18+M75+M81+M89+M92+M98+M100+M106+M112+M138+M146+M149+M154+M167+M172+M185+M187+M189</f>
        <v>0.159</v>
      </c>
      <c r="N11" s="26">
        <f>N15+N18+N75+N81+N89+N92+N98+N100+N106+N112+N138+N146+N149+N154+N167+N187+N189</f>
        <v>0</v>
      </c>
      <c r="O11" s="26">
        <f>O15+O18+O75+O81+O89+O92+O98+O100+O106+O112+O138+O146+O149+O154+O167+O172+O185+O187+O189</f>
        <v>14610</v>
      </c>
      <c r="P11" s="26">
        <f>P15+P18+P75+P81+P89+P92+P98+P100+P106+P112+P138+P146+P149+P154+P167+P172+P185+P187+P189</f>
        <v>13733.4</v>
      </c>
      <c r="Q11" s="27">
        <f>Q15+Q18+Q75+Q81+Q89+Q92+Q98+Q100+Q106+Q112+Q138+Q146+Q149+Q154+Q167+Q172+Q185+Q187+Q189</f>
        <v>876.60000000000036</v>
      </c>
      <c r="R11" s="28" t="e">
        <f>R15+R18+R75+R81+R87+R89+R92+R94+R98+R100+R106+R112+R138+R146+R149+R154+R165+R167+#REF!+#REF!+R187+R189</f>
        <v>#REF!</v>
      </c>
      <c r="S11" s="28" t="e">
        <f>S15+S18+S75+S81+S87+S89+S92+S94+S98+S100+S106+S112+S138+S146+S149+S154+S165+S167+#REF!+#REF!+S187+S189</f>
        <v>#REF!</v>
      </c>
      <c r="T11" s="28" t="e">
        <f>T15+T18+T75+T81+T87+T89+T92+T94+T98+T100+T106+T112+T138+T146+T149+T154+T165+T167+#REF!+#REF!+T187+T189</f>
        <v>#REF!</v>
      </c>
      <c r="U11" s="28" t="e">
        <f>U15+U18+U75+U81+U87+U89+U92+U94+U98+U100+U106+U112+U138+U146+U149+U154+U165+U167+#REF!+#REF!+U187+U189</f>
        <v>#REF!</v>
      </c>
      <c r="V11" s="28" t="e">
        <f>V15+V18+V75+V81+V87+V89+V92+V94+V98+V100+V106+V112+V138+V146+V149+V154+V165+V167+#REF!+#REF!+V187+V189</f>
        <v>#REF!</v>
      </c>
      <c r="W11" s="28">
        <f>C11+H11</f>
        <v>197.77030000000002</v>
      </c>
      <c r="X11" s="28"/>
      <c r="Y11" s="28">
        <f>C11-C12</f>
        <v>99.292000000000016</v>
      </c>
      <c r="Z11" s="28">
        <f>H11-H12</f>
        <v>98.478300000000004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</row>
    <row r="12" spans="1:44" ht="26.25" customHeight="1">
      <c r="A12" s="30"/>
      <c r="B12" s="31" t="s">
        <v>15</v>
      </c>
      <c r="C12" s="197"/>
      <c r="D12" s="197"/>
      <c r="E12" s="197"/>
      <c r="F12" s="197"/>
      <c r="G12" s="197"/>
      <c r="H12" s="197"/>
      <c r="I12" s="197"/>
      <c r="J12" s="197"/>
      <c r="K12" s="197"/>
      <c r="L12" s="198"/>
      <c r="M12" s="176"/>
      <c r="N12" s="176"/>
      <c r="O12" s="176"/>
      <c r="P12" s="176"/>
      <c r="Q12" s="187"/>
      <c r="R12" s="33"/>
      <c r="S12" s="33"/>
      <c r="T12" s="32"/>
      <c r="U12" s="34"/>
      <c r="V12" s="35"/>
      <c r="W12" s="28">
        <f>C12+H12</f>
        <v>0</v>
      </c>
      <c r="X12" s="10"/>
      <c r="Y12" s="28">
        <f>C80+C102+C156</f>
        <v>9.3819999999999997</v>
      </c>
      <c r="Z12" s="196">
        <f>H103+H150+H189</f>
        <v>8.402000000000001</v>
      </c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</row>
    <row r="13" spans="1:44" s="12" customFormat="1" ht="24.75" customHeight="1">
      <c r="A13" s="36"/>
      <c r="B13" s="37" t="s">
        <v>16</v>
      </c>
      <c r="C13" s="26"/>
      <c r="D13" s="26"/>
      <c r="E13" s="26"/>
      <c r="F13" s="199">
        <f>F15+F18+F75+F81+F89+F92+F98+F100+F106+F112+F138+F146+F149+F154+F167+F187+F189</f>
        <v>1823321.8650079998</v>
      </c>
      <c r="G13" s="199"/>
      <c r="H13" s="200"/>
      <c r="I13" s="200"/>
      <c r="J13" s="199"/>
      <c r="K13" s="199">
        <f>K15+K18+K75+K81+K89+K92+K98+K100+K106+K112+K138+K146+K149+K154+K167+K172+K185+K187+K189</f>
        <v>2659103.0186516</v>
      </c>
      <c r="L13" s="201"/>
      <c r="M13" s="107"/>
      <c r="N13" s="107"/>
      <c r="O13" s="107"/>
      <c r="P13" s="107"/>
      <c r="Q13" s="188"/>
      <c r="R13" s="38"/>
      <c r="S13" s="38"/>
      <c r="T13" s="39"/>
      <c r="U13" s="40"/>
      <c r="V13" s="41"/>
      <c r="W13" s="10"/>
      <c r="X13" s="10"/>
      <c r="Y13" s="84">
        <f>Y11-Y12</f>
        <v>89.910000000000011</v>
      </c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s="12" customFormat="1" ht="42.75" customHeight="1">
      <c r="A14" s="36"/>
      <c r="B14" s="37" t="s">
        <v>17</v>
      </c>
      <c r="C14" s="42"/>
      <c r="D14" s="42"/>
      <c r="E14" s="42"/>
      <c r="F14" s="42"/>
      <c r="G14" s="199">
        <f>G15+G18+G75+G81+G89+G92+G98+G100+G106+G112+G138+G146+G149+G154+G167+G187+G189</f>
        <v>118235.40839200003</v>
      </c>
      <c r="H14" s="202"/>
      <c r="I14" s="202"/>
      <c r="J14" s="202"/>
      <c r="K14" s="202"/>
      <c r="L14" s="201">
        <f>L15+L18+L75+L81+L89+L92+L98+L100+L106+L112+L138+L146+L149+L154+L167+L172+L185+L187+L189</f>
        <v>170463.3890084</v>
      </c>
      <c r="M14" s="107"/>
      <c r="N14" s="107"/>
      <c r="O14" s="107"/>
      <c r="P14" s="107"/>
      <c r="Q14" s="188"/>
      <c r="R14" s="43"/>
      <c r="S14" s="43"/>
      <c r="T14" s="44"/>
      <c r="U14" s="45"/>
      <c r="V14" s="41"/>
      <c r="W14" s="10"/>
      <c r="X14" s="10"/>
      <c r="Y14" s="10"/>
      <c r="Z14" s="4"/>
      <c r="AA14" s="4" t="s">
        <v>3</v>
      </c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spans="1:44" s="12" customFormat="1" ht="27" customHeight="1">
      <c r="A15" s="36"/>
      <c r="B15" s="46" t="s">
        <v>18</v>
      </c>
      <c r="C15" s="47">
        <f>C16</f>
        <v>2.7</v>
      </c>
      <c r="D15" s="47"/>
      <c r="E15" s="47">
        <f>E16</f>
        <v>20930.599999999999</v>
      </c>
      <c r="F15" s="47">
        <f>F16</f>
        <v>19674.8</v>
      </c>
      <c r="G15" s="47">
        <f>G16</f>
        <v>1255.7999999999993</v>
      </c>
      <c r="H15" s="47">
        <f>H16</f>
        <v>8.43</v>
      </c>
      <c r="I15" s="47"/>
      <c r="J15" s="47">
        <f>J16</f>
        <v>554519.80000000005</v>
      </c>
      <c r="K15" s="47">
        <f>K16</f>
        <v>521248.60000000003</v>
      </c>
      <c r="L15" s="48">
        <f>L16</f>
        <v>33271.200000000012</v>
      </c>
      <c r="M15" s="107"/>
      <c r="N15" s="107"/>
      <c r="O15" s="107"/>
      <c r="P15" s="107"/>
      <c r="Q15" s="188"/>
      <c r="R15" s="50">
        <v>10.3</v>
      </c>
      <c r="S15" s="47"/>
      <c r="T15" s="47">
        <v>238000</v>
      </c>
      <c r="U15" s="47">
        <v>223720</v>
      </c>
      <c r="V15" s="49">
        <f>T15-U15</f>
        <v>14280</v>
      </c>
      <c r="W15" s="51"/>
      <c r="X15" s="52"/>
      <c r="Y15" s="10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s="12" customFormat="1" ht="40.5" customHeight="1">
      <c r="A16" s="53"/>
      <c r="B16" s="54" t="s">
        <v>144</v>
      </c>
      <c r="C16" s="55">
        <f>C17</f>
        <v>2.7</v>
      </c>
      <c r="D16" s="59"/>
      <c r="E16" s="60">
        <f>E17</f>
        <v>20930.599999999999</v>
      </c>
      <c r="F16" s="60">
        <f>F17</f>
        <v>19674.8</v>
      </c>
      <c r="G16" s="60">
        <f>G17</f>
        <v>1255.7999999999993</v>
      </c>
      <c r="H16" s="94">
        <v>8.43</v>
      </c>
      <c r="I16" s="59"/>
      <c r="J16" s="57">
        <v>554519.80000000005</v>
      </c>
      <c r="K16" s="57">
        <f>J16*0.94-0.012</f>
        <v>521248.60000000003</v>
      </c>
      <c r="L16" s="58">
        <f>J16-K16</f>
        <v>33271.200000000012</v>
      </c>
      <c r="M16" s="107"/>
      <c r="N16" s="107"/>
      <c r="O16" s="107"/>
      <c r="P16" s="107"/>
      <c r="Q16" s="188"/>
      <c r="R16" s="62">
        <v>10.3</v>
      </c>
      <c r="S16" s="57"/>
      <c r="T16" s="57">
        <v>238000</v>
      </c>
      <c r="U16" s="57">
        <v>223720</v>
      </c>
      <c r="V16" s="61">
        <f>T16-U16</f>
        <v>14280</v>
      </c>
      <c r="W16" s="10"/>
      <c r="X16" s="10"/>
      <c r="Y16" s="10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s="12" customFormat="1" ht="27" customHeight="1">
      <c r="A17" s="53">
        <v>1</v>
      </c>
      <c r="B17" s="54" t="s">
        <v>134</v>
      </c>
      <c r="C17" s="55">
        <v>2.7</v>
      </c>
      <c r="D17" s="59"/>
      <c r="E17" s="60">
        <v>20930.599999999999</v>
      </c>
      <c r="F17" s="60">
        <v>19674.8</v>
      </c>
      <c r="G17" s="60">
        <f>E17-F17</f>
        <v>1255.7999999999993</v>
      </c>
      <c r="H17" s="59"/>
      <c r="I17" s="59"/>
      <c r="J17" s="59"/>
      <c r="K17" s="59"/>
      <c r="L17" s="167"/>
      <c r="M17" s="107"/>
      <c r="N17" s="107"/>
      <c r="O17" s="107"/>
      <c r="P17" s="107"/>
      <c r="Q17" s="188"/>
      <c r="R17" s="62"/>
      <c r="S17" s="63"/>
      <c r="T17" s="57"/>
      <c r="U17" s="58"/>
      <c r="V17" s="61"/>
      <c r="W17" s="10"/>
      <c r="X17" s="10"/>
      <c r="Y17" s="10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pans="1:44" s="12" customFormat="1" ht="25.5" customHeight="1">
      <c r="A18" s="53"/>
      <c r="B18" s="46" t="s">
        <v>172</v>
      </c>
      <c r="C18" s="47">
        <f>C19+C58</f>
        <v>42.684000000000012</v>
      </c>
      <c r="D18" s="47"/>
      <c r="E18" s="47">
        <f>E19+E58</f>
        <v>530764.01169999992</v>
      </c>
      <c r="F18" s="64">
        <f>F19+F58</f>
        <v>498918.19999799982</v>
      </c>
      <c r="G18" s="47">
        <f>G19+G58</f>
        <v>31845.811702000028</v>
      </c>
      <c r="H18" s="47">
        <f>H19+H58</f>
        <v>19.367000000000001</v>
      </c>
      <c r="I18" s="47"/>
      <c r="J18" s="47">
        <f>J19+J58+0.09</f>
        <v>274205.91842000006</v>
      </c>
      <c r="K18" s="47">
        <f>K19+K58</f>
        <v>257753.52795159997</v>
      </c>
      <c r="L18" s="48">
        <f>L19+L58</f>
        <v>16452.389708400002</v>
      </c>
      <c r="M18" s="107"/>
      <c r="N18" s="107"/>
      <c r="O18" s="107"/>
      <c r="P18" s="107"/>
      <c r="Q18" s="188"/>
      <c r="R18" s="50" t="e">
        <f>#REF!+#REF!</f>
        <v>#REF!</v>
      </c>
      <c r="S18" s="50"/>
      <c r="T18" s="44" t="e">
        <f>#REF!+#REF!</f>
        <v>#REF!</v>
      </c>
      <c r="U18" s="45" t="e">
        <f>#REF!+#REF!</f>
        <v>#REF!</v>
      </c>
      <c r="V18" s="49" t="e">
        <f>#REF!</f>
        <v>#REF!</v>
      </c>
      <c r="W18" s="65">
        <f>F18/E18*100</f>
        <v>94.000005463821822</v>
      </c>
      <c r="X18" s="195">
        <f>K18/J18*100</f>
        <v>93.999987103414725</v>
      </c>
      <c r="Y18" s="10"/>
      <c r="Z18" s="118" t="e">
        <f>K18-#REF!</f>
        <v>#REF!</v>
      </c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pans="1:44" s="12" customFormat="1" ht="39.75" customHeight="1">
      <c r="A19" s="151"/>
      <c r="B19" s="152" t="s">
        <v>90</v>
      </c>
      <c r="C19" s="133">
        <f>SUM(C20:C39)</f>
        <v>20.897000000000006</v>
      </c>
      <c r="D19" s="142"/>
      <c r="E19" s="129">
        <f>SUM(E20:E39)</f>
        <v>348609.78451999993</v>
      </c>
      <c r="F19" s="129">
        <f t="shared" ref="F19:G19" si="0">SUM(F20:F39)</f>
        <v>327693.19999879989</v>
      </c>
      <c r="G19" s="129">
        <f t="shared" si="0"/>
        <v>20916.584521200009</v>
      </c>
      <c r="H19" s="129">
        <f>SUM(H38:H57)</f>
        <v>18.084</v>
      </c>
      <c r="I19" s="142"/>
      <c r="J19" s="129">
        <f t="shared" ref="J19:L19" si="1">SUM(J38:J57)</f>
        <v>240122.07528000002</v>
      </c>
      <c r="K19" s="129">
        <f t="shared" si="1"/>
        <v>225714.8</v>
      </c>
      <c r="L19" s="129">
        <f t="shared" si="1"/>
        <v>14407.32452</v>
      </c>
      <c r="M19" s="107"/>
      <c r="N19" s="107"/>
      <c r="O19" s="107"/>
      <c r="P19" s="107"/>
      <c r="Q19" s="188"/>
      <c r="R19" s="50"/>
      <c r="S19" s="50"/>
      <c r="T19" s="44"/>
      <c r="U19" s="45"/>
      <c r="V19" s="49"/>
      <c r="W19" s="65">
        <f>F19/E19*100</f>
        <v>94.000000731476874</v>
      </c>
      <c r="X19" s="10"/>
      <c r="Y19" s="10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pans="1:44" s="12" customFormat="1" ht="27" customHeight="1">
      <c r="A20" s="151">
        <v>2</v>
      </c>
      <c r="B20" s="144" t="s">
        <v>20</v>
      </c>
      <c r="C20" s="133">
        <v>1.655</v>
      </c>
      <c r="D20" s="142"/>
      <c r="E20" s="129">
        <v>9574.5759400000006</v>
      </c>
      <c r="F20" s="129">
        <f t="shared" ref="F20:F25" si="2">E20*0.94</f>
        <v>9000.1013836000002</v>
      </c>
      <c r="G20" s="129">
        <f t="shared" ref="G20:G39" si="3">E20-F20</f>
        <v>574.47455640000044</v>
      </c>
      <c r="H20" s="142"/>
      <c r="I20" s="142"/>
      <c r="J20" s="142"/>
      <c r="K20" s="47"/>
      <c r="L20" s="129"/>
      <c r="M20" s="107"/>
      <c r="N20" s="107"/>
      <c r="O20" s="107"/>
      <c r="P20" s="107"/>
      <c r="Q20" s="188"/>
      <c r="R20" s="50"/>
      <c r="S20" s="50"/>
      <c r="T20" s="44"/>
      <c r="U20" s="45"/>
      <c r="V20" s="49"/>
      <c r="W20" s="51"/>
      <c r="X20" s="10"/>
      <c r="Y20" s="10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pans="1:44" s="12" customFormat="1" ht="27" customHeight="1">
      <c r="A21" s="151">
        <v>3</v>
      </c>
      <c r="B21" s="144" t="s">
        <v>21</v>
      </c>
      <c r="C21" s="133">
        <v>4.2460000000000004</v>
      </c>
      <c r="D21" s="142"/>
      <c r="E21" s="129">
        <v>64412.141629999998</v>
      </c>
      <c r="F21" s="129">
        <f t="shared" si="2"/>
        <v>60547.413132199996</v>
      </c>
      <c r="G21" s="129">
        <f t="shared" si="3"/>
        <v>3864.7284978000025</v>
      </c>
      <c r="H21" s="142"/>
      <c r="I21" s="142"/>
      <c r="J21" s="142"/>
      <c r="K21" s="47"/>
      <c r="L21" s="48"/>
      <c r="M21" s="107"/>
      <c r="N21" s="107"/>
      <c r="O21" s="107"/>
      <c r="P21" s="107"/>
      <c r="Q21" s="188"/>
      <c r="R21" s="50"/>
      <c r="S21" s="50"/>
      <c r="T21" s="44"/>
      <c r="U21" s="45"/>
      <c r="V21" s="49"/>
      <c r="W21" s="51">
        <f t="shared" ref="W21:W37" si="4">E21/C21</f>
        <v>15170.075748940177</v>
      </c>
      <c r="X21" s="10"/>
      <c r="Y21" s="10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pans="1:44" s="12" customFormat="1" ht="27" customHeight="1">
      <c r="A22" s="151">
        <v>4</v>
      </c>
      <c r="B22" s="144" t="s">
        <v>22</v>
      </c>
      <c r="C22" s="133">
        <v>2.9929999999999999</v>
      </c>
      <c r="D22" s="142"/>
      <c r="E22" s="129">
        <v>21251.69</v>
      </c>
      <c r="F22" s="129">
        <f t="shared" si="2"/>
        <v>19976.588599999999</v>
      </c>
      <c r="G22" s="129">
        <f t="shared" si="3"/>
        <v>1275.1013999999996</v>
      </c>
      <c r="H22" s="142"/>
      <c r="I22" s="142"/>
      <c r="J22" s="142"/>
      <c r="K22" s="47"/>
      <c r="L22" s="48"/>
      <c r="M22" s="107"/>
      <c r="N22" s="107"/>
      <c r="O22" s="107"/>
      <c r="P22" s="107"/>
      <c r="Q22" s="188"/>
      <c r="R22" s="50"/>
      <c r="S22" s="50"/>
      <c r="T22" s="44"/>
      <c r="U22" s="45"/>
      <c r="V22" s="49"/>
      <c r="W22" s="51">
        <f t="shared" si="4"/>
        <v>7100.4644169729363</v>
      </c>
      <c r="X22" s="10"/>
      <c r="Y22" s="10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pans="1:44" s="12" customFormat="1" ht="27" customHeight="1">
      <c r="A23" s="151">
        <v>5</v>
      </c>
      <c r="B23" s="144" t="s">
        <v>23</v>
      </c>
      <c r="C23" s="133">
        <v>1.3169999999999999</v>
      </c>
      <c r="D23" s="142"/>
      <c r="E23" s="129">
        <v>11819.596869999999</v>
      </c>
      <c r="F23" s="129">
        <f t="shared" si="2"/>
        <v>11110.421057799998</v>
      </c>
      <c r="G23" s="129">
        <f t="shared" si="3"/>
        <v>709.17581220000102</v>
      </c>
      <c r="H23" s="142"/>
      <c r="I23" s="142"/>
      <c r="J23" s="142"/>
      <c r="K23" s="47"/>
      <c r="L23" s="48"/>
      <c r="M23" s="107"/>
      <c r="N23" s="107"/>
      <c r="O23" s="107"/>
      <c r="P23" s="107"/>
      <c r="Q23" s="188"/>
      <c r="R23" s="50"/>
      <c r="S23" s="50"/>
      <c r="T23" s="44"/>
      <c r="U23" s="45"/>
      <c r="V23" s="49"/>
      <c r="W23" s="51">
        <f t="shared" si="4"/>
        <v>8974.6369552012147</v>
      </c>
      <c r="X23" s="10"/>
      <c r="Y23" s="10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1:44" s="12" customFormat="1" ht="27" customHeight="1">
      <c r="A24" s="151">
        <v>6</v>
      </c>
      <c r="B24" s="144" t="s">
        <v>24</v>
      </c>
      <c r="C24" s="133">
        <v>1.06</v>
      </c>
      <c r="D24" s="142"/>
      <c r="E24" s="129">
        <v>22860.11</v>
      </c>
      <c r="F24" s="129">
        <f>E24*0.94</f>
        <v>21488.503399999998</v>
      </c>
      <c r="G24" s="129">
        <f t="shared" si="3"/>
        <v>1371.6066000000028</v>
      </c>
      <c r="H24" s="142"/>
      <c r="I24" s="142"/>
      <c r="J24" s="142"/>
      <c r="K24" s="47"/>
      <c r="L24" s="48"/>
      <c r="M24" s="107"/>
      <c r="N24" s="107"/>
      <c r="O24" s="107"/>
      <c r="P24" s="107"/>
      <c r="Q24" s="188"/>
      <c r="R24" s="50"/>
      <c r="S24" s="50"/>
      <c r="T24" s="44"/>
      <c r="U24" s="45"/>
      <c r="V24" s="49"/>
      <c r="W24" s="51">
        <f t="shared" si="4"/>
        <v>21566.141509433961</v>
      </c>
      <c r="X24" s="10"/>
      <c r="Y24" s="10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1:44" s="12" customFormat="1" ht="27" customHeight="1">
      <c r="A25" s="151">
        <v>7</v>
      </c>
      <c r="B25" s="144" t="s">
        <v>25</v>
      </c>
      <c r="C25" s="133">
        <v>0.82899999999999996</v>
      </c>
      <c r="D25" s="142"/>
      <c r="E25" s="129">
        <v>18359.7</v>
      </c>
      <c r="F25" s="129">
        <f t="shared" si="2"/>
        <v>17258.117999999999</v>
      </c>
      <c r="G25" s="129">
        <f t="shared" si="3"/>
        <v>1101.5820000000022</v>
      </c>
      <c r="H25" s="142"/>
      <c r="I25" s="142"/>
      <c r="J25" s="142"/>
      <c r="K25" s="47"/>
      <c r="L25" s="48"/>
      <c r="M25" s="107"/>
      <c r="N25" s="107"/>
      <c r="O25" s="107"/>
      <c r="P25" s="107"/>
      <c r="Q25" s="188"/>
      <c r="R25" s="50"/>
      <c r="S25" s="50"/>
      <c r="T25" s="44"/>
      <c r="U25" s="45"/>
      <c r="V25" s="49"/>
      <c r="W25" s="51">
        <f t="shared" si="4"/>
        <v>22146.80337756333</v>
      </c>
      <c r="X25" s="10" t="s">
        <v>19</v>
      </c>
      <c r="Y25" s="10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pans="1:44" s="12" customFormat="1" ht="27" customHeight="1">
      <c r="A26" s="151">
        <v>8</v>
      </c>
      <c r="B26" s="144" t="s">
        <v>26</v>
      </c>
      <c r="C26" s="133">
        <v>4.0069999999999997</v>
      </c>
      <c r="D26" s="142"/>
      <c r="E26" s="129">
        <v>96084.344100000002</v>
      </c>
      <c r="F26" s="129">
        <f>E26*0.94</f>
        <v>90319.283454000004</v>
      </c>
      <c r="G26" s="129">
        <f t="shared" si="3"/>
        <v>5765.0606459999981</v>
      </c>
      <c r="H26" s="142"/>
      <c r="I26" s="142"/>
      <c r="J26" s="142"/>
      <c r="K26" s="47"/>
      <c r="L26" s="48"/>
      <c r="M26" s="107"/>
      <c r="N26" s="107"/>
      <c r="O26" s="107"/>
      <c r="P26" s="107"/>
      <c r="Q26" s="188"/>
      <c r="R26" s="50"/>
      <c r="S26" s="50"/>
      <c r="T26" s="44"/>
      <c r="U26" s="45"/>
      <c r="V26" s="49"/>
      <c r="W26" s="51">
        <f t="shared" si="4"/>
        <v>23979.122560519096</v>
      </c>
      <c r="X26" s="10"/>
      <c r="Y26" s="10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1:44" s="12" customFormat="1" ht="26.25" customHeight="1">
      <c r="A27" s="151">
        <v>9</v>
      </c>
      <c r="B27" s="144" t="s">
        <v>106</v>
      </c>
      <c r="C27" s="153">
        <v>0.67200000000000004</v>
      </c>
      <c r="D27" s="154"/>
      <c r="E27" s="129">
        <v>15758.495999999999</v>
      </c>
      <c r="F27" s="129">
        <f t="shared" ref="F27:F38" si="5">E27*0.94</f>
        <v>14812.986239999998</v>
      </c>
      <c r="G27" s="129">
        <f t="shared" si="3"/>
        <v>945.50976000000082</v>
      </c>
      <c r="H27" s="142"/>
      <c r="I27" s="142"/>
      <c r="J27" s="142"/>
      <c r="K27" s="142"/>
      <c r="L27" s="48"/>
      <c r="M27" s="107"/>
      <c r="N27" s="107"/>
      <c r="O27" s="107"/>
      <c r="P27" s="107"/>
      <c r="Q27" s="188"/>
      <c r="R27" s="50"/>
      <c r="S27" s="50"/>
      <c r="T27" s="44"/>
      <c r="U27" s="45"/>
      <c r="V27" s="49"/>
      <c r="W27" s="51">
        <f t="shared" si="4"/>
        <v>23450.142857142855</v>
      </c>
      <c r="X27" s="10"/>
      <c r="Y27" s="10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1:44" s="12" customFormat="1" ht="27" customHeight="1">
      <c r="A28" s="151">
        <v>10</v>
      </c>
      <c r="B28" s="144" t="s">
        <v>107</v>
      </c>
      <c r="C28" s="155">
        <v>0.12</v>
      </c>
      <c r="D28" s="154"/>
      <c r="E28" s="129">
        <v>1868.7811999999999</v>
      </c>
      <c r="F28" s="129">
        <f t="shared" si="5"/>
        <v>1756.6543279999999</v>
      </c>
      <c r="G28" s="129">
        <f t="shared" si="3"/>
        <v>112.12687200000005</v>
      </c>
      <c r="H28" s="142"/>
      <c r="I28" s="142"/>
      <c r="J28" s="142"/>
      <c r="K28" s="142"/>
      <c r="L28" s="48"/>
      <c r="M28" s="107"/>
      <c r="N28" s="107"/>
      <c r="O28" s="107"/>
      <c r="P28" s="107"/>
      <c r="Q28" s="188"/>
      <c r="R28" s="50"/>
      <c r="S28" s="50"/>
      <c r="T28" s="44"/>
      <c r="U28" s="45"/>
      <c r="V28" s="49"/>
      <c r="W28" s="51">
        <f t="shared" si="4"/>
        <v>15573.176666666666</v>
      </c>
      <c r="X28" s="10"/>
      <c r="Y28" s="10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1:44" s="12" customFormat="1" ht="27" customHeight="1">
      <c r="A29" s="151">
        <v>11</v>
      </c>
      <c r="B29" s="144" t="s">
        <v>108</v>
      </c>
      <c r="C29" s="213">
        <v>0.32</v>
      </c>
      <c r="D29" s="214"/>
      <c r="E29" s="129">
        <v>4875.5829999999996</v>
      </c>
      <c r="F29" s="129">
        <f t="shared" si="5"/>
        <v>4583.0480199999993</v>
      </c>
      <c r="G29" s="129">
        <f t="shared" si="3"/>
        <v>292.53498000000036</v>
      </c>
      <c r="H29" s="142"/>
      <c r="I29" s="142"/>
      <c r="J29" s="142"/>
      <c r="K29" s="142"/>
      <c r="L29" s="48"/>
      <c r="M29" s="107"/>
      <c r="N29" s="107"/>
      <c r="O29" s="107"/>
      <c r="P29" s="107"/>
      <c r="Q29" s="188"/>
      <c r="R29" s="50"/>
      <c r="S29" s="50"/>
      <c r="T29" s="44"/>
      <c r="U29" s="45"/>
      <c r="V29" s="49"/>
      <c r="W29" s="51">
        <f t="shared" si="4"/>
        <v>15236.196874999998</v>
      </c>
      <c r="X29" s="10"/>
      <c r="Y29" s="10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1:44" s="12" customFormat="1" ht="63" customHeight="1">
      <c r="A30" s="160">
        <v>12</v>
      </c>
      <c r="B30" s="149" t="s">
        <v>150</v>
      </c>
      <c r="C30" s="206">
        <f>0.05+0.142+0.111+0.045+0.162</f>
        <v>0.51</v>
      </c>
      <c r="D30" s="207"/>
      <c r="E30" s="208">
        <v>7774.7408999999998</v>
      </c>
      <c r="F30" s="208">
        <f t="shared" si="5"/>
        <v>7308.2564459999994</v>
      </c>
      <c r="G30" s="208">
        <f t="shared" si="3"/>
        <v>466.48445400000037</v>
      </c>
      <c r="H30" s="209"/>
      <c r="I30" s="209"/>
      <c r="J30" s="209"/>
      <c r="K30" s="209"/>
      <c r="L30" s="210"/>
      <c r="M30" s="211"/>
      <c r="N30" s="211"/>
      <c r="O30" s="211"/>
      <c r="P30" s="211"/>
      <c r="Q30" s="212"/>
      <c r="R30" s="50"/>
      <c r="S30" s="50"/>
      <c r="T30" s="44"/>
      <c r="U30" s="45"/>
      <c r="V30" s="49"/>
      <c r="W30" s="51">
        <f t="shared" si="4"/>
        <v>15244.59</v>
      </c>
      <c r="X30" s="10"/>
      <c r="Y30" s="10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1:44" s="12" customFormat="1" ht="27" customHeight="1">
      <c r="A31" s="151">
        <v>13</v>
      </c>
      <c r="B31" s="144" t="s">
        <v>112</v>
      </c>
      <c r="C31" s="153">
        <v>0.49</v>
      </c>
      <c r="D31" s="154"/>
      <c r="E31" s="129">
        <v>6354.9597700000004</v>
      </c>
      <c r="F31" s="129">
        <f t="shared" si="5"/>
        <v>5973.6621838000001</v>
      </c>
      <c r="G31" s="129">
        <f t="shared" si="3"/>
        <v>381.2975862000003</v>
      </c>
      <c r="H31" s="142"/>
      <c r="I31" s="142"/>
      <c r="J31" s="142"/>
      <c r="K31" s="142"/>
      <c r="L31" s="48"/>
      <c r="M31" s="107"/>
      <c r="N31" s="107"/>
      <c r="O31" s="107"/>
      <c r="P31" s="107"/>
      <c r="Q31" s="188"/>
      <c r="R31" s="50"/>
      <c r="S31" s="50"/>
      <c r="T31" s="44"/>
      <c r="U31" s="45"/>
      <c r="V31" s="49"/>
      <c r="W31" s="51">
        <f t="shared" si="4"/>
        <v>12969.305653061225</v>
      </c>
      <c r="X31" s="10"/>
      <c r="Y31" s="10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1:44" s="12" customFormat="1" ht="27" customHeight="1">
      <c r="A32" s="151">
        <v>14</v>
      </c>
      <c r="B32" s="144" t="s">
        <v>111</v>
      </c>
      <c r="C32" s="153">
        <v>7.6999999999999999E-2</v>
      </c>
      <c r="D32" s="154"/>
      <c r="E32" s="129">
        <v>1203.77</v>
      </c>
      <c r="F32" s="129">
        <f t="shared" si="5"/>
        <v>1131.5437999999999</v>
      </c>
      <c r="G32" s="129">
        <f t="shared" si="3"/>
        <v>72.226200000000063</v>
      </c>
      <c r="H32" s="142"/>
      <c r="I32" s="142"/>
      <c r="J32" s="142"/>
      <c r="K32" s="142"/>
      <c r="L32" s="48"/>
      <c r="M32" s="107"/>
      <c r="N32" s="107"/>
      <c r="O32" s="107"/>
      <c r="P32" s="107"/>
      <c r="Q32" s="188"/>
      <c r="R32" s="50"/>
      <c r="S32" s="50"/>
      <c r="T32" s="44"/>
      <c r="U32" s="45"/>
      <c r="V32" s="49"/>
      <c r="W32" s="51">
        <f t="shared" si="4"/>
        <v>15633.376623376624</v>
      </c>
      <c r="X32" s="10"/>
      <c r="Y32" s="10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44" s="12" customFormat="1" ht="27" customHeight="1">
      <c r="A33" s="151">
        <v>15</v>
      </c>
      <c r="B33" s="144" t="s">
        <v>113</v>
      </c>
      <c r="C33" s="153">
        <v>0.18</v>
      </c>
      <c r="D33" s="154"/>
      <c r="E33" s="129">
        <v>2460.3000000000002</v>
      </c>
      <c r="F33" s="129">
        <f t="shared" si="5"/>
        <v>2312.6820000000002</v>
      </c>
      <c r="G33" s="129">
        <f t="shared" si="3"/>
        <v>147.61799999999994</v>
      </c>
      <c r="H33" s="142"/>
      <c r="I33" s="142"/>
      <c r="J33" s="142"/>
      <c r="K33" s="142"/>
      <c r="L33" s="48"/>
      <c r="M33" s="107"/>
      <c r="N33" s="107"/>
      <c r="O33" s="107"/>
      <c r="P33" s="107"/>
      <c r="Q33" s="188"/>
      <c r="R33" s="50"/>
      <c r="S33" s="50"/>
      <c r="T33" s="44"/>
      <c r="U33" s="45"/>
      <c r="V33" s="49"/>
      <c r="W33" s="51">
        <f t="shared" si="4"/>
        <v>13668.333333333336</v>
      </c>
      <c r="X33" s="10"/>
      <c r="Y33" s="10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s="12" customFormat="1" ht="27" customHeight="1">
      <c r="A34" s="151">
        <v>16</v>
      </c>
      <c r="B34" s="144" t="s">
        <v>110</v>
      </c>
      <c r="C34" s="153">
        <v>0.125</v>
      </c>
      <c r="D34" s="154"/>
      <c r="E34" s="129">
        <v>1955.98</v>
      </c>
      <c r="F34" s="129">
        <f t="shared" si="5"/>
        <v>1838.6211999999998</v>
      </c>
      <c r="G34" s="129">
        <f t="shared" si="3"/>
        <v>117.3588000000002</v>
      </c>
      <c r="H34" s="142"/>
      <c r="I34" s="142"/>
      <c r="J34" s="142"/>
      <c r="K34" s="142"/>
      <c r="L34" s="48"/>
      <c r="M34" s="107"/>
      <c r="N34" s="107"/>
      <c r="O34" s="107"/>
      <c r="P34" s="107"/>
      <c r="Q34" s="188"/>
      <c r="R34" s="50"/>
      <c r="S34" s="50"/>
      <c r="T34" s="44"/>
      <c r="U34" s="45"/>
      <c r="V34" s="49"/>
      <c r="W34" s="51">
        <f t="shared" si="4"/>
        <v>15647.84</v>
      </c>
      <c r="X34" s="10"/>
      <c r="Y34" s="10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s="12" customFormat="1" ht="27" customHeight="1">
      <c r="A35" s="151">
        <v>17</v>
      </c>
      <c r="B35" s="144" t="s">
        <v>109</v>
      </c>
      <c r="C35" s="153">
        <v>0.22500000000000001</v>
      </c>
      <c r="D35" s="154"/>
      <c r="E35" s="129">
        <v>5006.3954999999996</v>
      </c>
      <c r="F35" s="129">
        <f t="shared" si="5"/>
        <v>4706.0117699999992</v>
      </c>
      <c r="G35" s="129">
        <f t="shared" si="3"/>
        <v>300.38373000000047</v>
      </c>
      <c r="H35" s="142"/>
      <c r="I35" s="142"/>
      <c r="J35" s="142"/>
      <c r="K35" s="142"/>
      <c r="L35" s="48"/>
      <c r="M35" s="107"/>
      <c r="N35" s="107"/>
      <c r="O35" s="107"/>
      <c r="P35" s="107"/>
      <c r="Q35" s="188"/>
      <c r="R35" s="50"/>
      <c r="S35" s="50"/>
      <c r="T35" s="44"/>
      <c r="U35" s="45"/>
      <c r="V35" s="49"/>
      <c r="W35" s="51">
        <f t="shared" si="4"/>
        <v>22250.646666666664</v>
      </c>
      <c r="X35" s="10"/>
      <c r="Y35" s="10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s="12" customFormat="1" ht="27" customHeight="1">
      <c r="A36" s="151">
        <v>18</v>
      </c>
      <c r="B36" s="144" t="s">
        <v>114</v>
      </c>
      <c r="C36" s="153">
        <v>0.25</v>
      </c>
      <c r="D36" s="154"/>
      <c r="E36" s="129">
        <v>3928.9476500000001</v>
      </c>
      <c r="F36" s="129">
        <f t="shared" si="5"/>
        <v>3693.210791</v>
      </c>
      <c r="G36" s="129">
        <f t="shared" si="3"/>
        <v>235.73685900000009</v>
      </c>
      <c r="H36" s="142"/>
      <c r="I36" s="142"/>
      <c r="J36" s="142"/>
      <c r="K36" s="142"/>
      <c r="L36" s="48"/>
      <c r="M36" s="107"/>
      <c r="N36" s="107"/>
      <c r="O36" s="107"/>
      <c r="P36" s="107"/>
      <c r="Q36" s="188"/>
      <c r="R36" s="50"/>
      <c r="S36" s="50"/>
      <c r="T36" s="44"/>
      <c r="U36" s="45"/>
      <c r="V36" s="49"/>
      <c r="W36" s="51">
        <f t="shared" si="4"/>
        <v>15715.7906</v>
      </c>
      <c r="X36" s="10"/>
      <c r="Y36" s="10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s="12" customFormat="1" ht="45" customHeight="1">
      <c r="A37" s="151">
        <v>19</v>
      </c>
      <c r="B37" s="144" t="s">
        <v>147</v>
      </c>
      <c r="C37" s="216">
        <f>0.777+0.26+0.271+0.292</f>
        <v>1.5999999999999999</v>
      </c>
      <c r="D37" s="217"/>
      <c r="E37" s="129">
        <v>14470.14</v>
      </c>
      <c r="F37" s="129">
        <f t="shared" si="5"/>
        <v>13601.931599999998</v>
      </c>
      <c r="G37" s="129">
        <f t="shared" si="3"/>
        <v>868.20840000000135</v>
      </c>
      <c r="H37" s="142"/>
      <c r="I37" s="142"/>
      <c r="J37" s="142"/>
      <c r="K37" s="142"/>
      <c r="L37" s="48"/>
      <c r="M37" s="107"/>
      <c r="N37" s="107"/>
      <c r="O37" s="107"/>
      <c r="P37" s="107"/>
      <c r="Q37" s="188"/>
      <c r="R37" s="50"/>
      <c r="S37" s="50"/>
      <c r="T37" s="44"/>
      <c r="U37" s="45"/>
      <c r="V37" s="49"/>
      <c r="W37" s="51">
        <f t="shared" si="4"/>
        <v>9043.8374999999996</v>
      </c>
      <c r="X37" s="10"/>
      <c r="Y37" s="10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s="12" customFormat="1" ht="81" customHeight="1">
      <c r="A38" s="156">
        <v>20</v>
      </c>
      <c r="B38" s="157" t="s">
        <v>148</v>
      </c>
      <c r="C38" s="158"/>
      <c r="D38" s="159"/>
      <c r="E38" s="146">
        <v>16657.521509999999</v>
      </c>
      <c r="F38" s="146">
        <f t="shared" si="5"/>
        <v>15658.070219399999</v>
      </c>
      <c r="G38" s="146">
        <f t="shared" si="3"/>
        <v>999.45129059999999</v>
      </c>
      <c r="H38" s="145">
        <v>2.98</v>
      </c>
      <c r="I38" s="148"/>
      <c r="J38" s="146">
        <v>20126.99339</v>
      </c>
      <c r="K38" s="146">
        <v>18919.400000000001</v>
      </c>
      <c r="L38" s="147">
        <f>J38-K38</f>
        <v>1207.5933899999982</v>
      </c>
      <c r="M38" s="107"/>
      <c r="N38" s="107"/>
      <c r="O38" s="107"/>
      <c r="P38" s="107"/>
      <c r="Q38" s="188"/>
      <c r="R38" s="50"/>
      <c r="S38" s="50"/>
      <c r="T38" s="44"/>
      <c r="U38" s="45"/>
      <c r="V38" s="49"/>
      <c r="W38" s="51">
        <f>(E38+J38)/H38</f>
        <v>12343.796946308723</v>
      </c>
      <c r="X38" s="10"/>
      <c r="Y38" s="10"/>
      <c r="Z38" s="132" t="s">
        <v>12</v>
      </c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s="12" customFormat="1" ht="41.25" customHeight="1">
      <c r="A39" s="156">
        <v>21</v>
      </c>
      <c r="B39" s="157" t="s">
        <v>184</v>
      </c>
      <c r="C39" s="216">
        <v>0.221</v>
      </c>
      <c r="D39" s="159"/>
      <c r="E39" s="146">
        <v>21932.010450000002</v>
      </c>
      <c r="F39" s="146">
        <f>E39*0.94+0.00255</f>
        <v>20616.092373000003</v>
      </c>
      <c r="G39" s="146">
        <f t="shared" si="3"/>
        <v>1315.9180769999984</v>
      </c>
      <c r="H39" s="145"/>
      <c r="I39" s="148"/>
      <c r="J39" s="146"/>
      <c r="K39" s="146"/>
      <c r="L39" s="147"/>
      <c r="M39" s="107"/>
      <c r="N39" s="107"/>
      <c r="O39" s="107"/>
      <c r="P39" s="107"/>
      <c r="Q39" s="188"/>
      <c r="R39" s="50"/>
      <c r="S39" s="50"/>
      <c r="T39" s="44"/>
      <c r="U39" s="45"/>
      <c r="V39" s="49"/>
      <c r="W39" s="51"/>
      <c r="X39" s="10"/>
      <c r="Y39" s="10"/>
      <c r="Z39" s="132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s="12" customFormat="1" ht="60.75" customHeight="1">
      <c r="A40" s="163">
        <v>22</v>
      </c>
      <c r="B40" s="157" t="s">
        <v>149</v>
      </c>
      <c r="C40" s="158"/>
      <c r="D40" s="159"/>
      <c r="E40" s="129"/>
      <c r="F40" s="129"/>
      <c r="G40" s="129"/>
      <c r="H40" s="145">
        <v>0.89500000000000002</v>
      </c>
      <c r="I40" s="142"/>
      <c r="J40" s="129">
        <v>14043.6489</v>
      </c>
      <c r="K40" s="146">
        <v>13201</v>
      </c>
      <c r="L40" s="147">
        <f t="shared" ref="L40:L55" si="6">J40-K40</f>
        <v>842.64890000000014</v>
      </c>
      <c r="M40" s="107"/>
      <c r="N40" s="107"/>
      <c r="O40" s="107"/>
      <c r="P40" s="107"/>
      <c r="Q40" s="188"/>
      <c r="R40" s="50"/>
      <c r="S40" s="50"/>
      <c r="T40" s="44"/>
      <c r="U40" s="45"/>
      <c r="V40" s="49"/>
      <c r="W40" s="51"/>
      <c r="X40" s="10"/>
      <c r="Y40" s="10"/>
      <c r="Z40" s="132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s="12" customFormat="1" ht="27" customHeight="1">
      <c r="A41" s="163">
        <v>23</v>
      </c>
      <c r="B41" s="157" t="s">
        <v>117</v>
      </c>
      <c r="C41" s="158"/>
      <c r="D41" s="159"/>
      <c r="E41" s="129"/>
      <c r="F41" s="129"/>
      <c r="G41" s="129"/>
      <c r="H41" s="145">
        <v>1.0569999999999999</v>
      </c>
      <c r="I41" s="142"/>
      <c r="J41" s="129">
        <v>18300.022199999999</v>
      </c>
      <c r="K41" s="146">
        <v>17202</v>
      </c>
      <c r="L41" s="147">
        <f t="shared" si="6"/>
        <v>1098.0221999999994</v>
      </c>
      <c r="M41" s="107"/>
      <c r="N41" s="107"/>
      <c r="O41" s="107"/>
      <c r="P41" s="107"/>
      <c r="Q41" s="188"/>
      <c r="R41" s="50"/>
      <c r="S41" s="50"/>
      <c r="T41" s="44"/>
      <c r="U41" s="45"/>
      <c r="V41" s="49"/>
      <c r="W41" s="51"/>
      <c r="X41" s="10"/>
      <c r="Y41" s="10"/>
      <c r="Z41" s="132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s="12" customFormat="1" ht="24" customHeight="1">
      <c r="A42" s="163">
        <v>24</v>
      </c>
      <c r="B42" s="144" t="s">
        <v>118</v>
      </c>
      <c r="C42" s="158"/>
      <c r="D42" s="159"/>
      <c r="E42" s="129"/>
      <c r="F42" s="129"/>
      <c r="G42" s="129"/>
      <c r="H42" s="133">
        <v>0.2</v>
      </c>
      <c r="I42" s="142"/>
      <c r="J42" s="129">
        <v>3436.29</v>
      </c>
      <c r="K42" s="146">
        <v>3230.1</v>
      </c>
      <c r="L42" s="143">
        <f t="shared" si="6"/>
        <v>206.19000000000005</v>
      </c>
      <c r="M42" s="107"/>
      <c r="N42" s="107"/>
      <c r="O42" s="107"/>
      <c r="P42" s="107"/>
      <c r="Q42" s="188"/>
      <c r="R42" s="50"/>
      <c r="S42" s="50"/>
      <c r="T42" s="44"/>
      <c r="U42" s="45"/>
      <c r="V42" s="49"/>
      <c r="W42" s="51"/>
      <c r="X42" s="10"/>
      <c r="Y42" s="10"/>
      <c r="Z42" s="132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s="12" customFormat="1" ht="39" customHeight="1">
      <c r="A43" s="163">
        <v>25</v>
      </c>
      <c r="B43" s="157" t="s">
        <v>119</v>
      </c>
      <c r="C43" s="158"/>
      <c r="D43" s="159"/>
      <c r="E43" s="129"/>
      <c r="F43" s="129"/>
      <c r="G43" s="129"/>
      <c r="H43" s="145">
        <v>0.48799999999999999</v>
      </c>
      <c r="I43" s="142"/>
      <c r="J43" s="129">
        <v>5940.11</v>
      </c>
      <c r="K43" s="146">
        <v>5583.7</v>
      </c>
      <c r="L43" s="147">
        <f t="shared" si="6"/>
        <v>356.40999999999985</v>
      </c>
      <c r="M43" s="107"/>
      <c r="N43" s="107"/>
      <c r="O43" s="107"/>
      <c r="P43" s="107"/>
      <c r="Q43" s="188"/>
      <c r="R43" s="50"/>
      <c r="S43" s="50"/>
      <c r="T43" s="44"/>
      <c r="U43" s="45"/>
      <c r="V43" s="49"/>
      <c r="W43" s="51"/>
      <c r="X43" s="10"/>
      <c r="Y43" s="10"/>
      <c r="Z43" s="132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s="12" customFormat="1" ht="61.5" customHeight="1">
      <c r="A44" s="163">
        <v>26</v>
      </c>
      <c r="B44" s="157" t="s">
        <v>151</v>
      </c>
      <c r="C44" s="158"/>
      <c r="D44" s="159"/>
      <c r="E44" s="129"/>
      <c r="F44" s="129"/>
      <c r="G44" s="129"/>
      <c r="H44" s="145">
        <v>0.222</v>
      </c>
      <c r="I44" s="142"/>
      <c r="J44" s="129">
        <v>3412.98</v>
      </c>
      <c r="K44" s="146">
        <v>3208.2</v>
      </c>
      <c r="L44" s="147">
        <f t="shared" si="6"/>
        <v>204.7800000000002</v>
      </c>
      <c r="M44" s="107"/>
      <c r="N44" s="107"/>
      <c r="O44" s="107"/>
      <c r="P44" s="107"/>
      <c r="Q44" s="188"/>
      <c r="R44" s="50"/>
      <c r="S44" s="50"/>
      <c r="T44" s="44"/>
      <c r="U44" s="45"/>
      <c r="V44" s="49"/>
      <c r="W44" s="51"/>
      <c r="X44" s="10"/>
      <c r="Y44" s="10"/>
      <c r="Z44" s="132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</row>
    <row r="45" spans="1:44" s="12" customFormat="1" ht="24.75" customHeight="1">
      <c r="A45" s="163">
        <v>27</v>
      </c>
      <c r="B45" s="157" t="s">
        <v>120</v>
      </c>
      <c r="C45" s="158"/>
      <c r="D45" s="159"/>
      <c r="E45" s="129" t="s">
        <v>39</v>
      </c>
      <c r="F45" s="129"/>
      <c r="G45" s="129"/>
      <c r="H45" s="145">
        <v>0.27500000000000002</v>
      </c>
      <c r="I45" s="142"/>
      <c r="J45" s="129">
        <v>4478.6641499999996</v>
      </c>
      <c r="K45" s="146">
        <v>4210</v>
      </c>
      <c r="L45" s="147">
        <f>J45-K45</f>
        <v>268.66414999999961</v>
      </c>
      <c r="M45" s="107"/>
      <c r="N45" s="107"/>
      <c r="O45" s="107"/>
      <c r="P45" s="107"/>
      <c r="Q45" s="188"/>
      <c r="R45" s="50"/>
      <c r="S45" s="50"/>
      <c r="T45" s="44"/>
      <c r="U45" s="45"/>
      <c r="V45" s="49"/>
      <c r="W45" s="51"/>
      <c r="X45" s="10"/>
      <c r="Y45" s="10"/>
      <c r="Z45" s="132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s="12" customFormat="1" ht="41.25" customHeight="1">
      <c r="A46" s="163">
        <v>28</v>
      </c>
      <c r="B46" s="157" t="s">
        <v>122</v>
      </c>
      <c r="C46" s="158"/>
      <c r="D46" s="159"/>
      <c r="E46" s="129" t="s">
        <v>12</v>
      </c>
      <c r="F46" s="129"/>
      <c r="G46" s="129"/>
      <c r="H46" s="145">
        <v>0.72</v>
      </c>
      <c r="I46" s="142"/>
      <c r="J46" s="129">
        <v>9900</v>
      </c>
      <c r="K46" s="146">
        <f t="shared" ref="K46:K55" si="7">J46*0.94</f>
        <v>9306</v>
      </c>
      <c r="L46" s="147">
        <f t="shared" si="6"/>
        <v>594</v>
      </c>
      <c r="M46" s="107"/>
      <c r="N46" s="107"/>
      <c r="O46" s="107"/>
      <c r="P46" s="107"/>
      <c r="Q46" s="188"/>
      <c r="R46" s="50"/>
      <c r="S46" s="50"/>
      <c r="T46" s="44"/>
      <c r="U46" s="45"/>
      <c r="V46" s="49"/>
      <c r="W46" s="51"/>
      <c r="X46" s="10"/>
      <c r="Y46" s="10"/>
      <c r="Z46" s="132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 s="12" customFormat="1" ht="39" customHeight="1">
      <c r="A47" s="163">
        <v>29</v>
      </c>
      <c r="B47" s="157" t="s">
        <v>123</v>
      </c>
      <c r="C47" s="158"/>
      <c r="D47" s="159"/>
      <c r="E47" s="129"/>
      <c r="F47" s="129"/>
      <c r="G47" s="129"/>
      <c r="H47" s="145">
        <v>3.641</v>
      </c>
      <c r="I47" s="142"/>
      <c r="J47" s="129">
        <v>69912.282000000007</v>
      </c>
      <c r="K47" s="146">
        <v>65717.600000000006</v>
      </c>
      <c r="L47" s="147">
        <f>J47-K47</f>
        <v>4194.6820000000007</v>
      </c>
      <c r="M47" s="107"/>
      <c r="N47" s="107"/>
      <c r="O47" s="107"/>
      <c r="P47" s="107"/>
      <c r="Q47" s="188"/>
      <c r="R47" s="50"/>
      <c r="S47" s="50"/>
      <c r="T47" s="44"/>
      <c r="U47" s="45"/>
      <c r="V47" s="49"/>
      <c r="W47" s="51"/>
      <c r="X47" s="10"/>
      <c r="Y47" s="10"/>
      <c r="Z47" s="132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 s="12" customFormat="1" ht="24.75" customHeight="1">
      <c r="A48" s="163">
        <v>30</v>
      </c>
      <c r="B48" s="157" t="s">
        <v>22</v>
      </c>
      <c r="C48" s="158" t="s">
        <v>39</v>
      </c>
      <c r="D48" s="159"/>
      <c r="E48" s="129"/>
      <c r="F48" s="129"/>
      <c r="G48" s="129"/>
      <c r="H48" s="145">
        <v>3</v>
      </c>
      <c r="I48" s="142"/>
      <c r="J48" s="129">
        <v>12164.941419999999</v>
      </c>
      <c r="K48" s="146">
        <v>11435</v>
      </c>
      <c r="L48" s="147">
        <f t="shared" si="6"/>
        <v>729.9414199999992</v>
      </c>
      <c r="M48" s="107"/>
      <c r="N48" s="107"/>
      <c r="O48" s="107"/>
      <c r="P48" s="107"/>
      <c r="Q48" s="188"/>
      <c r="R48" s="50"/>
      <c r="S48" s="50"/>
      <c r="T48" s="44"/>
      <c r="U48" s="45"/>
      <c r="V48" s="49"/>
      <c r="W48" s="51"/>
      <c r="X48" s="10"/>
      <c r="Y48" s="10"/>
      <c r="Z48" s="132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44" s="12" customFormat="1" ht="23.25" customHeight="1">
      <c r="A49" s="163">
        <v>31</v>
      </c>
      <c r="B49" s="157" t="s">
        <v>124</v>
      </c>
      <c r="C49" s="158"/>
      <c r="D49" s="159"/>
      <c r="E49" s="129"/>
      <c r="F49" s="129"/>
      <c r="G49" s="129"/>
      <c r="H49" s="145">
        <v>0.9</v>
      </c>
      <c r="I49" s="142"/>
      <c r="J49" s="129">
        <v>12350.15589</v>
      </c>
      <c r="K49" s="146">
        <v>11609.1</v>
      </c>
      <c r="L49" s="147">
        <f>J49-K49</f>
        <v>741.05588999999964</v>
      </c>
      <c r="M49" s="107"/>
      <c r="N49" s="107"/>
      <c r="O49" s="107"/>
      <c r="P49" s="107"/>
      <c r="Q49" s="188"/>
      <c r="R49" s="50"/>
      <c r="S49" s="50"/>
      <c r="T49" s="44"/>
      <c r="U49" s="45"/>
      <c r="V49" s="49"/>
      <c r="W49" s="51"/>
      <c r="X49" s="10"/>
      <c r="Y49" s="10"/>
      <c r="Z49" s="132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</row>
    <row r="50" spans="1:44" s="12" customFormat="1" ht="41.25" customHeight="1">
      <c r="A50" s="163">
        <v>32</v>
      </c>
      <c r="B50" s="157" t="s">
        <v>193</v>
      </c>
      <c r="C50" s="158"/>
      <c r="D50" s="159"/>
      <c r="E50" s="129"/>
      <c r="F50" s="129"/>
      <c r="G50" s="129"/>
      <c r="H50" s="145">
        <v>0.25</v>
      </c>
      <c r="I50" s="142"/>
      <c r="J50" s="129">
        <v>2975.2876500000002</v>
      </c>
      <c r="K50" s="146">
        <v>2796.8</v>
      </c>
      <c r="L50" s="147">
        <f t="shared" si="6"/>
        <v>178.48765000000003</v>
      </c>
      <c r="M50" s="107"/>
      <c r="N50" s="107"/>
      <c r="O50" s="107"/>
      <c r="P50" s="107"/>
      <c r="Q50" s="188"/>
      <c r="R50" s="50"/>
      <c r="S50" s="50"/>
      <c r="T50" s="44"/>
      <c r="U50" s="45"/>
      <c r="V50" s="49"/>
      <c r="W50" s="51"/>
      <c r="X50" s="10"/>
      <c r="Y50" s="10"/>
      <c r="Z50" s="132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</row>
    <row r="51" spans="1:44" s="12" customFormat="1" ht="24" customHeight="1">
      <c r="A51" s="163">
        <v>33</v>
      </c>
      <c r="B51" s="157" t="s">
        <v>186</v>
      </c>
      <c r="C51" s="158"/>
      <c r="D51" s="159"/>
      <c r="E51" s="129"/>
      <c r="F51" s="129"/>
      <c r="G51" s="129"/>
      <c r="H51" s="145">
        <v>0.2</v>
      </c>
      <c r="I51" s="142"/>
      <c r="J51" s="129">
        <v>4371.42857</v>
      </c>
      <c r="K51" s="146">
        <v>4109.1000000000004</v>
      </c>
      <c r="L51" s="147">
        <f t="shared" si="6"/>
        <v>262.32856999999967</v>
      </c>
      <c r="M51" s="107"/>
      <c r="N51" s="107"/>
      <c r="O51" s="107"/>
      <c r="P51" s="107"/>
      <c r="Q51" s="188"/>
      <c r="R51" s="50"/>
      <c r="S51" s="50"/>
      <c r="T51" s="44"/>
      <c r="U51" s="45"/>
      <c r="V51" s="49"/>
      <c r="W51" s="51"/>
      <c r="X51" s="10"/>
      <c r="Y51" s="10"/>
      <c r="Z51" s="132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</row>
    <row r="52" spans="1:44" s="12" customFormat="1" ht="24.75" customHeight="1">
      <c r="A52" s="163">
        <v>34</v>
      </c>
      <c r="B52" s="144" t="s">
        <v>125</v>
      </c>
      <c r="C52" s="158"/>
      <c r="D52" s="159"/>
      <c r="E52" s="129"/>
      <c r="F52" s="129"/>
      <c r="G52" s="129"/>
      <c r="H52" s="133">
        <v>0.86</v>
      </c>
      <c r="I52" s="142"/>
      <c r="J52" s="129">
        <v>13959.39</v>
      </c>
      <c r="K52" s="146">
        <v>13121.8</v>
      </c>
      <c r="L52" s="143">
        <f t="shared" si="6"/>
        <v>837.59000000000015</v>
      </c>
      <c r="M52" s="107"/>
      <c r="N52" s="107"/>
      <c r="O52" s="107"/>
      <c r="P52" s="107"/>
      <c r="Q52" s="188"/>
      <c r="R52" s="50"/>
      <c r="S52" s="50"/>
      <c r="T52" s="44"/>
      <c r="U52" s="45"/>
      <c r="V52" s="49"/>
      <c r="W52" s="51"/>
      <c r="X52" s="10"/>
      <c r="Y52" s="10"/>
      <c r="Z52" s="132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</row>
    <row r="53" spans="1:44" s="12" customFormat="1" ht="24.75" customHeight="1">
      <c r="A53" s="151">
        <v>35</v>
      </c>
      <c r="B53" s="144" t="s">
        <v>185</v>
      </c>
      <c r="C53" s="158"/>
      <c r="D53" s="159"/>
      <c r="E53" s="129"/>
      <c r="F53" s="129"/>
      <c r="G53" s="129"/>
      <c r="H53" s="133">
        <v>0.35799999999999998</v>
      </c>
      <c r="I53" s="142"/>
      <c r="J53" s="129">
        <v>5050</v>
      </c>
      <c r="K53" s="146">
        <f t="shared" si="7"/>
        <v>4747</v>
      </c>
      <c r="L53" s="143">
        <f t="shared" si="6"/>
        <v>303</v>
      </c>
      <c r="M53" s="107"/>
      <c r="N53" s="107"/>
      <c r="O53" s="107"/>
      <c r="P53" s="107"/>
      <c r="Q53" s="188"/>
      <c r="R53" s="50"/>
      <c r="S53" s="50"/>
      <c r="T53" s="44"/>
      <c r="U53" s="45"/>
      <c r="V53" s="49"/>
      <c r="W53" s="51"/>
      <c r="X53" s="10"/>
      <c r="Y53" s="10"/>
      <c r="Z53" s="132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</row>
    <row r="54" spans="1:44" s="12" customFormat="1" ht="24.75" customHeight="1">
      <c r="A54" s="151">
        <v>36</v>
      </c>
      <c r="B54" s="157" t="s">
        <v>187</v>
      </c>
      <c r="C54" s="158"/>
      <c r="D54" s="159"/>
      <c r="E54" s="129"/>
      <c r="F54" s="129"/>
      <c r="G54" s="129"/>
      <c r="H54" s="133">
        <v>0.24399999999999999</v>
      </c>
      <c r="I54" s="142"/>
      <c r="J54" s="129">
        <v>4747.8</v>
      </c>
      <c r="K54" s="146">
        <v>4462.8999999999996</v>
      </c>
      <c r="L54" s="143">
        <f t="shared" si="6"/>
        <v>284.90000000000055</v>
      </c>
      <c r="M54" s="107"/>
      <c r="N54" s="107"/>
      <c r="O54" s="107"/>
      <c r="P54" s="107"/>
      <c r="Q54" s="188"/>
      <c r="R54" s="50"/>
      <c r="S54" s="50"/>
      <c r="T54" s="44"/>
      <c r="U54" s="45"/>
      <c r="V54" s="49"/>
      <c r="W54" s="51"/>
      <c r="X54" s="10"/>
      <c r="Y54" s="10"/>
      <c r="Z54" s="132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</row>
    <row r="55" spans="1:44" s="12" customFormat="1" ht="24.75" customHeight="1">
      <c r="A55" s="151">
        <v>37</v>
      </c>
      <c r="B55" s="157" t="s">
        <v>188</v>
      </c>
      <c r="C55" s="158"/>
      <c r="D55" s="159"/>
      <c r="E55" s="129"/>
      <c r="F55" s="129"/>
      <c r="G55" s="129"/>
      <c r="H55" s="133">
        <v>0.3</v>
      </c>
      <c r="I55" s="142"/>
      <c r="J55" s="129">
        <v>6000</v>
      </c>
      <c r="K55" s="146">
        <f t="shared" si="7"/>
        <v>5640</v>
      </c>
      <c r="L55" s="143">
        <f t="shared" si="6"/>
        <v>360</v>
      </c>
      <c r="M55" s="107"/>
      <c r="N55" s="107"/>
      <c r="O55" s="107"/>
      <c r="P55" s="107"/>
      <c r="Q55" s="188"/>
      <c r="R55" s="50"/>
      <c r="S55" s="50"/>
      <c r="T55" s="44"/>
      <c r="U55" s="45"/>
      <c r="V55" s="49"/>
      <c r="W55" s="51"/>
      <c r="X55" s="10"/>
      <c r="Y55" s="10"/>
      <c r="Z55" s="132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</row>
    <row r="56" spans="1:44" s="12" customFormat="1" ht="39" customHeight="1">
      <c r="A56" s="151">
        <v>38</v>
      </c>
      <c r="B56" s="157" t="s">
        <v>189</v>
      </c>
      <c r="C56" s="158"/>
      <c r="D56" s="159"/>
      <c r="E56" s="129"/>
      <c r="F56" s="129"/>
      <c r="G56" s="129"/>
      <c r="H56" s="133">
        <f>0.724+0.65</f>
        <v>1.3740000000000001</v>
      </c>
      <c r="I56" s="142"/>
      <c r="J56" s="129">
        <f>14624.08111+12642.4</f>
        <v>27266.481110000001</v>
      </c>
      <c r="K56" s="146">
        <v>25630.6</v>
      </c>
      <c r="L56" s="143">
        <f>J56-K56+0.04924</f>
        <v>1635.9303500000021</v>
      </c>
      <c r="M56" s="107"/>
      <c r="N56" s="107"/>
      <c r="O56" s="107"/>
      <c r="P56" s="107"/>
      <c r="Q56" s="188"/>
      <c r="R56" s="50"/>
      <c r="S56" s="50"/>
      <c r="T56" s="44"/>
      <c r="U56" s="45"/>
      <c r="V56" s="49"/>
      <c r="W56" s="51"/>
      <c r="X56" s="10"/>
      <c r="Y56" s="10"/>
      <c r="Z56" s="132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</row>
    <row r="57" spans="1:44" s="12" customFormat="1" ht="24.75" customHeight="1">
      <c r="A57" s="151">
        <v>39</v>
      </c>
      <c r="B57" s="157" t="s">
        <v>190</v>
      </c>
      <c r="C57" s="158"/>
      <c r="D57" s="159"/>
      <c r="E57" s="129"/>
      <c r="F57" s="129"/>
      <c r="G57" s="129"/>
      <c r="H57" s="133">
        <v>0.12</v>
      </c>
      <c r="I57" s="142"/>
      <c r="J57" s="129">
        <v>1685.6</v>
      </c>
      <c r="K57" s="146">
        <v>1584.5</v>
      </c>
      <c r="L57" s="143">
        <f t="shared" ref="L57" si="8">J57-K57</f>
        <v>101.09999999999991</v>
      </c>
      <c r="M57" s="107"/>
      <c r="N57" s="107"/>
      <c r="O57" s="107"/>
      <c r="P57" s="107"/>
      <c r="Q57" s="188"/>
      <c r="R57" s="50"/>
      <c r="S57" s="50"/>
      <c r="T57" s="44"/>
      <c r="U57" s="45"/>
      <c r="V57" s="49"/>
      <c r="W57" s="51"/>
      <c r="X57" s="10"/>
      <c r="Y57" s="10"/>
      <c r="Z57" s="132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</row>
    <row r="58" spans="1:44" s="12" customFormat="1" ht="28.5" customHeight="1">
      <c r="A58" s="151"/>
      <c r="B58" s="152" t="s">
        <v>27</v>
      </c>
      <c r="C58" s="133">
        <f>SUM(C59:C67)</f>
        <v>21.787000000000003</v>
      </c>
      <c r="D58" s="142"/>
      <c r="E58" s="129">
        <f>SUM(E59:E67)</f>
        <v>182154.22717999999</v>
      </c>
      <c r="F58" s="129">
        <f t="shared" ref="F58:G58" si="9">SUM(F59:F67)</f>
        <v>171224.99999919994</v>
      </c>
      <c r="G58" s="129">
        <f t="shared" si="9"/>
        <v>10929.227180800019</v>
      </c>
      <c r="H58" s="133">
        <f>SUM(H68:H74)</f>
        <v>1.2830000000000001</v>
      </c>
      <c r="I58" s="129"/>
      <c r="J58" s="129">
        <f>SUM(J68:J74)</f>
        <v>34083.753140000001</v>
      </c>
      <c r="K58" s="57">
        <f>SUM(K68:K74)</f>
        <v>32038.727951599998</v>
      </c>
      <c r="L58" s="58">
        <f>SUM(L68:L74)</f>
        <v>2045.0651884000015</v>
      </c>
      <c r="M58" s="107"/>
      <c r="N58" s="107"/>
      <c r="O58" s="107"/>
      <c r="P58" s="107"/>
      <c r="Q58" s="188"/>
      <c r="R58" s="50"/>
      <c r="S58" s="50"/>
      <c r="T58" s="44"/>
      <c r="U58" s="45"/>
      <c r="V58" s="49"/>
      <c r="W58" s="51"/>
      <c r="X58" s="10"/>
      <c r="Y58" s="10"/>
      <c r="Z58" s="4" t="s">
        <v>12</v>
      </c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</row>
    <row r="59" spans="1:44" s="12" customFormat="1" ht="25.5" customHeight="1">
      <c r="A59" s="160">
        <v>40</v>
      </c>
      <c r="B59" s="149" t="s">
        <v>105</v>
      </c>
      <c r="C59" s="133">
        <v>10.36</v>
      </c>
      <c r="D59" s="142"/>
      <c r="E59" s="129">
        <v>25000</v>
      </c>
      <c r="F59" s="129">
        <f>E59*0.94</f>
        <v>23500</v>
      </c>
      <c r="G59" s="129">
        <f>E59-F59</f>
        <v>1500</v>
      </c>
      <c r="H59" s="142"/>
      <c r="I59" s="142"/>
      <c r="J59" s="142"/>
      <c r="K59" s="47"/>
      <c r="L59" s="48"/>
      <c r="M59" s="107"/>
      <c r="N59" s="107"/>
      <c r="O59" s="107"/>
      <c r="P59" s="107"/>
      <c r="Q59" s="188"/>
      <c r="R59" s="68"/>
      <c r="S59" s="68"/>
      <c r="T59" s="69"/>
      <c r="U59" s="70"/>
      <c r="V59" s="71"/>
      <c r="W59" s="51"/>
      <c r="X59" s="10"/>
      <c r="Y59" s="10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</row>
    <row r="60" spans="1:44" s="12" customFormat="1" ht="24.75" customHeight="1">
      <c r="A60" s="160">
        <v>41</v>
      </c>
      <c r="B60" s="144" t="s">
        <v>28</v>
      </c>
      <c r="C60" s="133">
        <v>3.1190000000000002</v>
      </c>
      <c r="D60" s="142"/>
      <c r="E60" s="129">
        <v>45706.320879999999</v>
      </c>
      <c r="F60" s="129">
        <f>E60*0.94</f>
        <v>42963.941627199994</v>
      </c>
      <c r="G60" s="129">
        <f>E60-F60</f>
        <v>2742.3792528000049</v>
      </c>
      <c r="H60" s="142"/>
      <c r="I60" s="142"/>
      <c r="J60" s="142"/>
      <c r="K60" s="47"/>
      <c r="L60" s="48"/>
      <c r="M60" s="107"/>
      <c r="N60" s="107"/>
      <c r="O60" s="107"/>
      <c r="P60" s="107"/>
      <c r="Q60" s="188"/>
      <c r="R60" s="68"/>
      <c r="S60" s="68"/>
      <c r="T60" s="69"/>
      <c r="U60" s="70"/>
      <c r="V60" s="71"/>
      <c r="W60" s="51"/>
      <c r="X60" s="131" t="s">
        <v>39</v>
      </c>
      <c r="Y60" s="10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</row>
    <row r="61" spans="1:44" s="12" customFormat="1" ht="24.75" customHeight="1">
      <c r="A61" s="160">
        <v>42</v>
      </c>
      <c r="B61" s="144" t="s">
        <v>29</v>
      </c>
      <c r="C61" s="133">
        <v>7.4240000000000004</v>
      </c>
      <c r="D61" s="142"/>
      <c r="E61" s="129">
        <v>103102.0194</v>
      </c>
      <c r="F61" s="129">
        <f>E61*0.94</f>
        <v>96915.898235999994</v>
      </c>
      <c r="G61" s="129">
        <f>E61-F61</f>
        <v>6186.121164000011</v>
      </c>
      <c r="H61" s="142"/>
      <c r="I61" s="142"/>
      <c r="J61" s="142"/>
      <c r="K61" s="47"/>
      <c r="L61" s="48"/>
      <c r="M61" s="107"/>
      <c r="N61" s="107"/>
      <c r="O61" s="107"/>
      <c r="P61" s="107"/>
      <c r="Q61" s="188"/>
      <c r="R61" s="68"/>
      <c r="S61" s="68"/>
      <c r="T61" s="69"/>
      <c r="U61" s="70"/>
      <c r="V61" s="71"/>
      <c r="W61" s="51"/>
      <c r="X61" s="10"/>
      <c r="Y61" s="10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</row>
    <row r="62" spans="1:44" s="12" customFormat="1" ht="38.25" customHeight="1">
      <c r="A62" s="160">
        <v>43</v>
      </c>
      <c r="B62" s="144" t="s">
        <v>30</v>
      </c>
      <c r="C62" s="133">
        <v>0.2</v>
      </c>
      <c r="D62" s="142"/>
      <c r="E62" s="129">
        <v>2624.23434</v>
      </c>
      <c r="F62" s="129">
        <f>E62*0.94</f>
        <v>2466.7802795999996</v>
      </c>
      <c r="G62" s="129">
        <f>E62-F62-0.01</f>
        <v>157.44406040000035</v>
      </c>
      <c r="H62" s="142"/>
      <c r="I62" s="142"/>
      <c r="J62" s="142"/>
      <c r="K62" s="47"/>
      <c r="L62" s="48"/>
      <c r="M62" s="107"/>
      <c r="N62" s="107"/>
      <c r="O62" s="107"/>
      <c r="P62" s="107"/>
      <c r="Q62" s="188"/>
      <c r="R62" s="68"/>
      <c r="S62" s="68"/>
      <c r="T62" s="69"/>
      <c r="U62" s="70"/>
      <c r="V62" s="71"/>
      <c r="W62" s="51"/>
      <c r="X62" s="10"/>
      <c r="Y62" s="10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</row>
    <row r="63" spans="1:44" s="12" customFormat="1" ht="39" customHeight="1">
      <c r="A63" s="160">
        <v>44</v>
      </c>
      <c r="B63" s="144" t="s">
        <v>115</v>
      </c>
      <c r="C63" s="133">
        <v>0.21299999999999999</v>
      </c>
      <c r="D63" s="161"/>
      <c r="E63" s="129">
        <v>1317.76241</v>
      </c>
      <c r="F63" s="129">
        <f t="shared" ref="F63:F65" si="10">E63*0.94</f>
        <v>1238.6966654</v>
      </c>
      <c r="G63" s="129">
        <f t="shared" ref="G63:G67" si="11">E63-F63</f>
        <v>79.065744600000016</v>
      </c>
      <c r="H63" s="142"/>
      <c r="I63" s="142"/>
      <c r="J63" s="142"/>
      <c r="K63" s="47"/>
      <c r="L63" s="48"/>
      <c r="M63" s="107"/>
      <c r="N63" s="107"/>
      <c r="O63" s="107"/>
      <c r="P63" s="107"/>
      <c r="Q63" s="188"/>
      <c r="R63" s="68"/>
      <c r="S63" s="68"/>
      <c r="T63" s="69"/>
      <c r="U63" s="70"/>
      <c r="V63" s="71"/>
      <c r="W63" s="51"/>
      <c r="X63" s="10"/>
      <c r="Y63" s="10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</row>
    <row r="64" spans="1:44" s="12" customFormat="1" ht="42.75" customHeight="1">
      <c r="A64" s="160">
        <v>45</v>
      </c>
      <c r="B64" s="144" t="s">
        <v>116</v>
      </c>
      <c r="C64" s="133">
        <v>0.251</v>
      </c>
      <c r="D64" s="161"/>
      <c r="E64" s="129">
        <v>2087.3660799999998</v>
      </c>
      <c r="F64" s="129">
        <f>E64*0.94</f>
        <v>1962.1241151999998</v>
      </c>
      <c r="G64" s="129">
        <f>E64-F64+0.01</f>
        <v>125.25196480000001</v>
      </c>
      <c r="H64" s="142"/>
      <c r="I64" s="142"/>
      <c r="J64" s="142"/>
      <c r="K64" s="47"/>
      <c r="L64" s="48"/>
      <c r="M64" s="107"/>
      <c r="N64" s="107"/>
      <c r="O64" s="107"/>
      <c r="P64" s="107"/>
      <c r="Q64" s="188"/>
      <c r="R64" s="68"/>
      <c r="S64" s="68"/>
      <c r="T64" s="69"/>
      <c r="U64" s="70"/>
      <c r="V64" s="71"/>
      <c r="W64" s="51"/>
      <c r="X64" s="10"/>
      <c r="Y64" s="10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</row>
    <row r="65" spans="1:44" s="12" customFormat="1" ht="26.25" customHeight="1">
      <c r="A65" s="160">
        <v>46</v>
      </c>
      <c r="B65" s="144" t="s">
        <v>121</v>
      </c>
      <c r="C65" s="133">
        <v>0.1</v>
      </c>
      <c r="D65" s="154"/>
      <c r="E65" s="129">
        <v>1012.9877</v>
      </c>
      <c r="F65" s="129">
        <f t="shared" si="10"/>
        <v>952.208438</v>
      </c>
      <c r="G65" s="129">
        <f t="shared" si="11"/>
        <v>60.779262000000017</v>
      </c>
      <c r="H65" s="142"/>
      <c r="I65" s="142"/>
      <c r="J65" s="142"/>
      <c r="K65" s="47"/>
      <c r="L65" s="48"/>
      <c r="M65" s="107"/>
      <c r="N65" s="107"/>
      <c r="O65" s="107"/>
      <c r="P65" s="107"/>
      <c r="Q65" s="188"/>
      <c r="R65" s="68"/>
      <c r="S65" s="68"/>
      <c r="T65" s="69"/>
      <c r="U65" s="70"/>
      <c r="V65" s="71"/>
      <c r="W65" s="51"/>
      <c r="X65" s="10"/>
      <c r="Y65" s="10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</row>
    <row r="66" spans="1:44" s="12" customFormat="1" ht="27" customHeight="1">
      <c r="A66" s="160">
        <v>47</v>
      </c>
      <c r="B66" s="144" t="s">
        <v>126</v>
      </c>
      <c r="C66" s="133">
        <v>0.02</v>
      </c>
      <c r="D66" s="154"/>
      <c r="E66" s="129">
        <v>226.09461999999999</v>
      </c>
      <c r="F66" s="129">
        <f>E66*0.94+0.02645</f>
        <v>212.55539279999999</v>
      </c>
      <c r="G66" s="129">
        <f t="shared" si="11"/>
        <v>13.539227199999999</v>
      </c>
      <c r="H66" s="142"/>
      <c r="I66" s="142"/>
      <c r="J66" s="142"/>
      <c r="K66" s="47"/>
      <c r="L66" s="48"/>
      <c r="M66" s="107"/>
      <c r="N66" s="107"/>
      <c r="O66" s="107"/>
      <c r="P66" s="107"/>
      <c r="Q66" s="188"/>
      <c r="R66" s="68"/>
      <c r="S66" s="68"/>
      <c r="T66" s="69"/>
      <c r="U66" s="70"/>
      <c r="V66" s="71"/>
      <c r="W66" s="51"/>
      <c r="X66" s="10"/>
      <c r="Y66" s="10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44" s="12" customFormat="1" ht="24.75" customHeight="1">
      <c r="A67" s="30">
        <v>48</v>
      </c>
      <c r="B67" s="144" t="s">
        <v>127</v>
      </c>
      <c r="C67" s="55">
        <v>0.1</v>
      </c>
      <c r="D67" s="164"/>
      <c r="E67" s="129">
        <v>1077.44175</v>
      </c>
      <c r="F67" s="129">
        <f>E67*0.94</f>
        <v>1012.7952449999999</v>
      </c>
      <c r="G67" s="129">
        <f t="shared" si="11"/>
        <v>64.646505000000047</v>
      </c>
      <c r="H67" s="47"/>
      <c r="I67" s="47"/>
      <c r="J67" s="47"/>
      <c r="K67" s="47"/>
      <c r="L67" s="48"/>
      <c r="M67" s="107"/>
      <c r="N67" s="107"/>
      <c r="O67" s="107"/>
      <c r="P67" s="107"/>
      <c r="Q67" s="188"/>
      <c r="R67" s="68"/>
      <c r="S67" s="68"/>
      <c r="T67" s="69"/>
      <c r="U67" s="70"/>
      <c r="V67" s="71"/>
      <c r="W67" s="51"/>
      <c r="X67" s="131" t="s">
        <v>19</v>
      </c>
      <c r="Y67" s="10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1:44" s="12" customFormat="1" ht="24.75" customHeight="1">
      <c r="A68" s="30">
        <v>49</v>
      </c>
      <c r="B68" s="144" t="s">
        <v>128</v>
      </c>
      <c r="C68" s="55"/>
      <c r="D68" s="150"/>
      <c r="E68" s="218"/>
      <c r="F68" s="129"/>
      <c r="G68" s="129"/>
      <c r="H68" s="138">
        <v>0.03</v>
      </c>
      <c r="I68" s="47"/>
      <c r="J68" s="129">
        <v>469.04</v>
      </c>
      <c r="K68" s="146">
        <f t="shared" ref="K68:K74" si="12">J68*0.94</f>
        <v>440.89760000000001</v>
      </c>
      <c r="L68" s="143">
        <f t="shared" ref="L68:L74" si="13">J68-K68</f>
        <v>28.142400000000009</v>
      </c>
      <c r="M68" s="107"/>
      <c r="N68" s="107"/>
      <c r="O68" s="107"/>
      <c r="P68" s="107"/>
      <c r="Q68" s="188"/>
      <c r="R68" s="68"/>
      <c r="S68" s="68"/>
      <c r="T68" s="69"/>
      <c r="U68" s="70"/>
      <c r="V68" s="71"/>
      <c r="W68" s="51"/>
      <c r="X68" s="10"/>
      <c r="Y68" s="10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44" s="12" customFormat="1" ht="30.75" customHeight="1">
      <c r="A69" s="30">
        <v>50</v>
      </c>
      <c r="B69" s="144" t="s">
        <v>129</v>
      </c>
      <c r="C69" s="55"/>
      <c r="D69" s="150"/>
      <c r="E69" s="57"/>
      <c r="F69" s="129"/>
      <c r="G69" s="129"/>
      <c r="H69" s="138">
        <v>7.1999999999999995E-2</v>
      </c>
      <c r="I69" s="47"/>
      <c r="J69" s="129">
        <v>1164.6881699999999</v>
      </c>
      <c r="K69" s="146">
        <f t="shared" si="12"/>
        <v>1094.8068797999999</v>
      </c>
      <c r="L69" s="143">
        <f t="shared" si="13"/>
        <v>69.881290199999967</v>
      </c>
      <c r="M69" s="107"/>
      <c r="N69" s="107"/>
      <c r="O69" s="107"/>
      <c r="P69" s="107"/>
      <c r="Q69" s="188"/>
      <c r="R69" s="68"/>
      <c r="S69" s="68"/>
      <c r="T69" s="69"/>
      <c r="U69" s="70"/>
      <c r="V69" s="71"/>
      <c r="W69" s="51"/>
      <c r="X69" s="10"/>
      <c r="Y69" s="10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44" s="12" customFormat="1" ht="27" customHeight="1">
      <c r="A70" s="30">
        <v>51</v>
      </c>
      <c r="B70" s="144" t="s">
        <v>130</v>
      </c>
      <c r="C70" s="55"/>
      <c r="D70" s="150"/>
      <c r="E70" s="57"/>
      <c r="F70" s="129"/>
      <c r="G70" s="129"/>
      <c r="H70" s="138">
        <v>6.2E-2</v>
      </c>
      <c r="I70" s="47"/>
      <c r="J70" s="129">
        <v>1085.7221</v>
      </c>
      <c r="K70" s="146">
        <f t="shared" si="12"/>
        <v>1020.578774</v>
      </c>
      <c r="L70" s="143">
        <f t="shared" si="13"/>
        <v>65.143326000000002</v>
      </c>
      <c r="M70" s="107"/>
      <c r="N70" s="107"/>
      <c r="O70" s="107"/>
      <c r="P70" s="107"/>
      <c r="Q70" s="188"/>
      <c r="R70" s="68"/>
      <c r="S70" s="68"/>
      <c r="T70" s="69"/>
      <c r="U70" s="70"/>
      <c r="V70" s="71"/>
      <c r="W70" s="51"/>
      <c r="X70" s="10"/>
      <c r="Y70" s="10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44" s="12" customFormat="1" ht="44.25" customHeight="1">
      <c r="A71" s="30">
        <v>52</v>
      </c>
      <c r="B71" s="144" t="s">
        <v>131</v>
      </c>
      <c r="C71" s="55"/>
      <c r="D71" s="150"/>
      <c r="E71" s="57"/>
      <c r="F71" s="129"/>
      <c r="G71" s="129"/>
      <c r="H71" s="138">
        <v>0.153</v>
      </c>
      <c r="I71" s="47"/>
      <c r="J71" s="129">
        <v>4870.6861900000004</v>
      </c>
      <c r="K71" s="146">
        <f t="shared" si="12"/>
        <v>4578.4450186000004</v>
      </c>
      <c r="L71" s="143">
        <f>J71-K71+0.01</f>
        <v>292.25117139999998</v>
      </c>
      <c r="M71" s="107"/>
      <c r="N71" s="107"/>
      <c r="O71" s="107"/>
      <c r="P71" s="107"/>
      <c r="Q71" s="188"/>
      <c r="R71" s="68"/>
      <c r="S71" s="68"/>
      <c r="T71" s="69"/>
      <c r="U71" s="70"/>
      <c r="V71" s="71"/>
      <c r="W71" s="51"/>
      <c r="X71" s="10"/>
      <c r="Y71" s="10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44" s="12" customFormat="1" ht="24.75" customHeight="1">
      <c r="A72" s="30">
        <v>53</v>
      </c>
      <c r="B72" s="144" t="s">
        <v>132</v>
      </c>
      <c r="C72" s="55"/>
      <c r="D72" s="150"/>
      <c r="E72" s="57"/>
      <c r="F72" s="129"/>
      <c r="G72" s="129"/>
      <c r="H72" s="138">
        <v>0.17299999999999999</v>
      </c>
      <c r="I72" s="47"/>
      <c r="J72" s="129">
        <v>12837.16243</v>
      </c>
      <c r="K72" s="146">
        <f t="shared" si="12"/>
        <v>12066.932684199999</v>
      </c>
      <c r="L72" s="143">
        <f>J72-K72+0.03</f>
        <v>770.25974580000116</v>
      </c>
      <c r="M72" s="107"/>
      <c r="N72" s="107"/>
      <c r="O72" s="107"/>
      <c r="P72" s="107"/>
      <c r="Q72" s="188"/>
      <c r="R72" s="68"/>
      <c r="S72" s="68"/>
      <c r="T72" s="69"/>
      <c r="U72" s="70"/>
      <c r="V72" s="71"/>
      <c r="W72" s="51"/>
      <c r="X72" s="10"/>
      <c r="Y72" s="10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44" s="12" customFormat="1" ht="27" customHeight="1">
      <c r="A73" s="30">
        <v>54</v>
      </c>
      <c r="B73" s="144" t="s">
        <v>133</v>
      </c>
      <c r="C73" s="55"/>
      <c r="D73" s="150"/>
      <c r="E73" s="57"/>
      <c r="F73" s="129"/>
      <c r="G73" s="129"/>
      <c r="H73" s="138">
        <v>0.67700000000000005</v>
      </c>
      <c r="I73" s="47"/>
      <c r="J73" s="129">
        <v>12331.980380000001</v>
      </c>
      <c r="K73" s="146">
        <f t="shared" si="12"/>
        <v>11592.061557200001</v>
      </c>
      <c r="L73" s="143">
        <f t="shared" si="13"/>
        <v>739.91882280000027</v>
      </c>
      <c r="M73" s="107"/>
      <c r="N73" s="107"/>
      <c r="O73" s="107"/>
      <c r="P73" s="107"/>
      <c r="Q73" s="188"/>
      <c r="R73" s="68"/>
      <c r="S73" s="68"/>
      <c r="T73" s="69"/>
      <c r="U73" s="70"/>
      <c r="V73" s="71"/>
      <c r="W73" s="51"/>
      <c r="X73" s="10"/>
      <c r="Y73" s="10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</row>
    <row r="74" spans="1:44" s="12" customFormat="1" ht="27" customHeight="1">
      <c r="A74" s="30">
        <v>55</v>
      </c>
      <c r="B74" s="149" t="s">
        <v>191</v>
      </c>
      <c r="C74" s="55"/>
      <c r="D74" s="150"/>
      <c r="E74" s="57"/>
      <c r="F74" s="129"/>
      <c r="G74" s="129"/>
      <c r="H74" s="138">
        <v>0.11600000000000001</v>
      </c>
      <c r="I74" s="47"/>
      <c r="J74" s="129">
        <v>1324.47387</v>
      </c>
      <c r="K74" s="146">
        <f t="shared" si="12"/>
        <v>1245.0054378</v>
      </c>
      <c r="L74" s="143">
        <f t="shared" si="13"/>
        <v>79.468432200000052</v>
      </c>
      <c r="M74" s="107"/>
      <c r="N74" s="107"/>
      <c r="O74" s="107"/>
      <c r="P74" s="107"/>
      <c r="Q74" s="188"/>
      <c r="R74" s="68"/>
      <c r="S74" s="68"/>
      <c r="T74" s="69"/>
      <c r="U74" s="70"/>
      <c r="V74" s="71"/>
      <c r="W74" s="51"/>
      <c r="X74" s="10"/>
      <c r="Y74" s="10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</row>
    <row r="75" spans="1:44" s="12" customFormat="1" ht="27" customHeight="1">
      <c r="A75" s="30"/>
      <c r="B75" s="72" t="s">
        <v>171</v>
      </c>
      <c r="C75" s="73">
        <f>C79+C80</f>
        <v>1.3639999999999999</v>
      </c>
      <c r="D75" s="73">
        <f>D77+D78</f>
        <v>30</v>
      </c>
      <c r="E75" s="73">
        <f>E77+E78+E79+E80</f>
        <v>97519.7</v>
      </c>
      <c r="F75" s="73">
        <f>F77+F78+F79+F80</f>
        <v>91668.5</v>
      </c>
      <c r="G75" s="73">
        <f>G77+G78+G79+G80</f>
        <v>5851.1999999999953</v>
      </c>
      <c r="H75" s="74">
        <f>H80</f>
        <v>0</v>
      </c>
      <c r="I75" s="74"/>
      <c r="J75" s="74">
        <f>J80</f>
        <v>0</v>
      </c>
      <c r="K75" s="74">
        <f>K80</f>
        <v>0</v>
      </c>
      <c r="L75" s="168">
        <f>L80</f>
        <v>0</v>
      </c>
      <c r="M75" s="107"/>
      <c r="N75" s="107"/>
      <c r="O75" s="107"/>
      <c r="P75" s="107"/>
      <c r="Q75" s="188"/>
      <c r="R75" s="75" t="e">
        <f>#REF!+#REF!</f>
        <v>#REF!</v>
      </c>
      <c r="S75" s="75"/>
      <c r="T75" s="76" t="e">
        <f>#REF!+#REF!</f>
        <v>#REF!</v>
      </c>
      <c r="U75" s="77" t="e">
        <f>#REF!+#REF!</f>
        <v>#REF!</v>
      </c>
      <c r="V75" s="78" t="e">
        <f>#REF!+#REF!</f>
        <v>#REF!</v>
      </c>
      <c r="W75" s="162">
        <f>F75/E75*100</f>
        <v>93.999981542190966</v>
      </c>
      <c r="X75" s="10"/>
      <c r="Y75" s="10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</row>
    <row r="76" spans="1:44" s="12" customFormat="1" ht="40.5" customHeight="1">
      <c r="A76" s="30"/>
      <c r="B76" s="54" t="s">
        <v>144</v>
      </c>
      <c r="C76" s="73"/>
      <c r="D76" s="73"/>
      <c r="E76" s="73"/>
      <c r="F76" s="73"/>
      <c r="G76" s="74"/>
      <c r="H76" s="74"/>
      <c r="I76" s="74"/>
      <c r="J76" s="74"/>
      <c r="K76" s="74"/>
      <c r="L76" s="168"/>
      <c r="M76" s="107"/>
      <c r="N76" s="107"/>
      <c r="O76" s="107"/>
      <c r="P76" s="107"/>
      <c r="Q76" s="188"/>
      <c r="R76" s="75"/>
      <c r="S76" s="75"/>
      <c r="T76" s="76"/>
      <c r="U76" s="77"/>
      <c r="V76" s="78"/>
      <c r="W76" s="10"/>
      <c r="X76" s="10"/>
      <c r="Y76" s="10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</row>
    <row r="77" spans="1:44" s="12" customFormat="1" ht="42" customHeight="1">
      <c r="A77" s="30">
        <v>56</v>
      </c>
      <c r="B77" s="54" t="s">
        <v>156</v>
      </c>
      <c r="C77" s="81"/>
      <c r="D77" s="57">
        <f>6+12</f>
        <v>18</v>
      </c>
      <c r="E77" s="57">
        <f>11327-1483.7</f>
        <v>9843.2999999999993</v>
      </c>
      <c r="F77" s="57">
        <f>10647.4-1394.7</f>
        <v>9252.6999999999989</v>
      </c>
      <c r="G77" s="57">
        <f>E77-F77</f>
        <v>590.60000000000036</v>
      </c>
      <c r="H77" s="81"/>
      <c r="I77" s="81"/>
      <c r="J77" s="81"/>
      <c r="K77" s="81"/>
      <c r="L77" s="82"/>
      <c r="M77" s="107"/>
      <c r="N77" s="107"/>
      <c r="O77" s="107"/>
      <c r="P77" s="107"/>
      <c r="Q77" s="188"/>
      <c r="R77" s="66"/>
      <c r="S77" s="66"/>
      <c r="T77" s="81"/>
      <c r="U77" s="82"/>
      <c r="V77" s="41"/>
      <c r="W77" s="10"/>
      <c r="X77" s="10"/>
      <c r="Y77" s="10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</row>
    <row r="78" spans="1:44" s="12" customFormat="1" ht="38.25" customHeight="1">
      <c r="A78" s="30">
        <v>57</v>
      </c>
      <c r="B78" s="67" t="s">
        <v>162</v>
      </c>
      <c r="C78" s="81"/>
      <c r="D78" s="57">
        <v>12</v>
      </c>
      <c r="E78" s="57">
        <v>1483.7</v>
      </c>
      <c r="F78" s="57">
        <v>1394.7</v>
      </c>
      <c r="G78" s="57">
        <f>E78-F78</f>
        <v>89</v>
      </c>
      <c r="H78" s="81"/>
      <c r="I78" s="81"/>
      <c r="J78" s="81"/>
      <c r="K78" s="81"/>
      <c r="L78" s="82"/>
      <c r="M78" s="107"/>
      <c r="N78" s="107"/>
      <c r="O78" s="107"/>
      <c r="P78" s="107"/>
      <c r="Q78" s="188"/>
      <c r="R78" s="66"/>
      <c r="S78" s="66"/>
      <c r="T78" s="81"/>
      <c r="U78" s="82"/>
      <c r="V78" s="41"/>
      <c r="W78" s="10"/>
      <c r="X78" s="10"/>
      <c r="Y78" s="10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</row>
    <row r="79" spans="1:44" s="12" customFormat="1" ht="25.5" customHeight="1">
      <c r="A79" s="30">
        <v>58</v>
      </c>
      <c r="B79" s="67" t="s">
        <v>31</v>
      </c>
      <c r="C79" s="55">
        <v>0.85199999999999998</v>
      </c>
      <c r="D79" s="57"/>
      <c r="E79" s="57">
        <v>76356</v>
      </c>
      <c r="F79" s="57">
        <v>71774.600000000006</v>
      </c>
      <c r="G79" s="57">
        <f>E79-F79</f>
        <v>4581.3999999999942</v>
      </c>
      <c r="H79" s="55"/>
      <c r="I79" s="47"/>
      <c r="J79" s="57"/>
      <c r="K79" s="57"/>
      <c r="L79" s="58"/>
      <c r="M79" s="107"/>
      <c r="N79" s="107"/>
      <c r="O79" s="107"/>
      <c r="P79" s="107"/>
      <c r="Q79" s="188"/>
      <c r="R79" s="66"/>
      <c r="S79" s="66"/>
      <c r="T79" s="81"/>
      <c r="U79" s="82"/>
      <c r="V79" s="41"/>
      <c r="W79" s="10"/>
      <c r="X79" s="10"/>
      <c r="Y79" s="10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</row>
    <row r="80" spans="1:44" s="12" customFormat="1" ht="25.5" customHeight="1">
      <c r="A80" s="30">
        <v>59</v>
      </c>
      <c r="B80" s="67" t="s">
        <v>135</v>
      </c>
      <c r="C80" s="55">
        <v>0.51200000000000001</v>
      </c>
      <c r="D80" s="47"/>
      <c r="E80" s="57">
        <v>9836.7000000000007</v>
      </c>
      <c r="F80" s="57">
        <v>9246.5</v>
      </c>
      <c r="G80" s="58">
        <f>E80-F80</f>
        <v>590.20000000000073</v>
      </c>
      <c r="H80" s="55"/>
      <c r="I80" s="47"/>
      <c r="J80" s="57"/>
      <c r="K80" s="57"/>
      <c r="L80" s="58"/>
      <c r="M80" s="107"/>
      <c r="N80" s="107"/>
      <c r="O80" s="107"/>
      <c r="P80" s="107"/>
      <c r="Q80" s="188"/>
      <c r="R80" s="66"/>
      <c r="S80" s="66"/>
      <c r="T80" s="81"/>
      <c r="U80" s="82"/>
      <c r="V80" s="41"/>
      <c r="W80" s="10"/>
      <c r="X80" s="10"/>
      <c r="Y80" s="10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</row>
    <row r="81" spans="1:44" s="12" customFormat="1" ht="28.5" customHeight="1">
      <c r="A81" s="30"/>
      <c r="B81" s="72" t="s">
        <v>32</v>
      </c>
      <c r="C81" s="47">
        <f>C82+C84+C85+C86</f>
        <v>8.5330000000000013</v>
      </c>
      <c r="D81" s="47"/>
      <c r="E81" s="47">
        <f>E82+E84+E85+E86</f>
        <v>222689.36169999998</v>
      </c>
      <c r="F81" s="47">
        <f t="shared" ref="F81:G81" si="14">F82+F84+F85+F86</f>
        <v>209327.99999999997</v>
      </c>
      <c r="G81" s="47">
        <f t="shared" si="14"/>
        <v>13361.361699999999</v>
      </c>
      <c r="H81" s="83"/>
      <c r="I81" s="83"/>
      <c r="J81" s="83"/>
      <c r="K81" s="83"/>
      <c r="L81" s="169"/>
      <c r="M81" s="107"/>
      <c r="N81" s="107"/>
      <c r="O81" s="107"/>
      <c r="P81" s="107"/>
      <c r="Q81" s="188"/>
      <c r="R81" s="50" t="e">
        <f>#REF!</f>
        <v>#REF!</v>
      </c>
      <c r="S81" s="47"/>
      <c r="T81" s="47" t="e">
        <f>#REF!</f>
        <v>#REF!</v>
      </c>
      <c r="U81" s="47" t="e">
        <f>#REF!</f>
        <v>#REF!</v>
      </c>
      <c r="V81" s="49" t="e">
        <f>#REF!</f>
        <v>#REF!</v>
      </c>
      <c r="W81" s="84"/>
      <c r="X81" s="10"/>
      <c r="Y81" s="10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</row>
    <row r="82" spans="1:44" s="12" customFormat="1" ht="25.5" customHeight="1">
      <c r="A82" s="53">
        <v>60</v>
      </c>
      <c r="B82" s="54" t="s">
        <v>157</v>
      </c>
      <c r="C82" s="55">
        <f>3.41-C86</f>
        <v>2.3890000000000002</v>
      </c>
      <c r="D82" s="47"/>
      <c r="E82" s="57">
        <f>F82+G82</f>
        <v>52684.312299999998</v>
      </c>
      <c r="F82" s="57">
        <v>49523.253559999997</v>
      </c>
      <c r="G82" s="57">
        <v>3161.0587399999999</v>
      </c>
      <c r="H82" s="81"/>
      <c r="I82" s="81"/>
      <c r="J82" s="81"/>
      <c r="K82" s="81"/>
      <c r="L82" s="82"/>
      <c r="M82" s="107"/>
      <c r="N82" s="107"/>
      <c r="O82" s="107"/>
      <c r="P82" s="107"/>
      <c r="Q82" s="188"/>
      <c r="R82" s="66"/>
      <c r="S82" s="66"/>
      <c r="T82" s="81"/>
      <c r="U82" s="82"/>
      <c r="V82" s="41"/>
      <c r="W82" s="10"/>
      <c r="X82" s="10"/>
      <c r="Y82" s="10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</row>
    <row r="83" spans="1:44" s="12" customFormat="1" ht="41.25" customHeight="1">
      <c r="A83" s="53"/>
      <c r="B83" s="89" t="s">
        <v>158</v>
      </c>
      <c r="C83" s="55"/>
      <c r="D83" s="47"/>
      <c r="E83" s="57"/>
      <c r="F83" s="57"/>
      <c r="G83" s="57"/>
      <c r="H83" s="81"/>
      <c r="I83" s="81"/>
      <c r="J83" s="81"/>
      <c r="K83" s="81"/>
      <c r="L83" s="82"/>
      <c r="M83" s="107"/>
      <c r="N83" s="107"/>
      <c r="O83" s="107"/>
      <c r="P83" s="107"/>
      <c r="Q83" s="188"/>
      <c r="R83" s="66"/>
      <c r="S83" s="66"/>
      <c r="T83" s="81"/>
      <c r="U83" s="82"/>
      <c r="V83" s="41"/>
      <c r="W83" s="10"/>
      <c r="X83" s="10"/>
      <c r="Y83" s="139" t="s">
        <v>39</v>
      </c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</row>
    <row r="84" spans="1:44" s="12" customFormat="1" ht="41.25" customHeight="1">
      <c r="A84" s="53">
        <v>61</v>
      </c>
      <c r="B84" s="89" t="s">
        <v>91</v>
      </c>
      <c r="C84" s="55">
        <v>0.85699999999999998</v>
      </c>
      <c r="D84" s="47"/>
      <c r="E84" s="57">
        <f t="shared" ref="E84:E86" si="15">F84+G84</f>
        <v>24550.175019999999</v>
      </c>
      <c r="F84" s="57">
        <v>23077.164519999998</v>
      </c>
      <c r="G84" s="57">
        <v>1473.0105000000001</v>
      </c>
      <c r="H84" s="81"/>
      <c r="I84" s="81"/>
      <c r="J84" s="81"/>
      <c r="K84" s="81"/>
      <c r="L84" s="82"/>
      <c r="M84" s="107"/>
      <c r="N84" s="107"/>
      <c r="O84" s="107"/>
      <c r="P84" s="107"/>
      <c r="Q84" s="188"/>
      <c r="R84" s="66"/>
      <c r="S84" s="66"/>
      <c r="T84" s="81"/>
      <c r="U84" s="82"/>
      <c r="V84" s="41"/>
      <c r="W84" s="10"/>
      <c r="X84" s="10"/>
      <c r="Y84" s="10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</row>
    <row r="85" spans="1:44" s="12" customFormat="1" ht="43.5" customHeight="1">
      <c r="A85" s="53">
        <v>62</v>
      </c>
      <c r="B85" s="89" t="s">
        <v>92</v>
      </c>
      <c r="C85" s="55">
        <v>4.266</v>
      </c>
      <c r="D85" s="47"/>
      <c r="E85" s="57">
        <f t="shared" si="15"/>
        <v>125836.09999999999</v>
      </c>
      <c r="F85" s="57">
        <v>118285.93399999999</v>
      </c>
      <c r="G85" s="57">
        <v>7550.1660000000002</v>
      </c>
      <c r="H85" s="81"/>
      <c r="I85" s="81"/>
      <c r="J85" s="81"/>
      <c r="K85" s="81"/>
      <c r="L85" s="82"/>
      <c r="M85" s="107"/>
      <c r="N85" s="107"/>
      <c r="O85" s="107"/>
      <c r="P85" s="107"/>
      <c r="Q85" s="188"/>
      <c r="R85" s="66"/>
      <c r="S85" s="66"/>
      <c r="T85" s="81"/>
      <c r="U85" s="82"/>
      <c r="V85" s="41"/>
      <c r="W85" s="10"/>
      <c r="X85" s="10"/>
      <c r="Y85" s="10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</row>
    <row r="86" spans="1:44" s="12" customFormat="1" ht="37.5" customHeight="1">
      <c r="A86" s="53">
        <v>63</v>
      </c>
      <c r="B86" s="54" t="s">
        <v>93</v>
      </c>
      <c r="C86" s="55">
        <v>1.0209999999999999</v>
      </c>
      <c r="D86" s="47"/>
      <c r="E86" s="57">
        <f t="shared" si="15"/>
        <v>19618.774379999999</v>
      </c>
      <c r="F86" s="57">
        <v>18441.647919999999</v>
      </c>
      <c r="G86" s="57">
        <v>1177.12646</v>
      </c>
      <c r="H86" s="81"/>
      <c r="I86" s="81"/>
      <c r="J86" s="81"/>
      <c r="K86" s="81"/>
      <c r="L86" s="82"/>
      <c r="M86" s="107"/>
      <c r="N86" s="107"/>
      <c r="O86" s="107"/>
      <c r="P86" s="107"/>
      <c r="Q86" s="188"/>
      <c r="R86" s="66"/>
      <c r="S86" s="66"/>
      <c r="T86" s="81"/>
      <c r="U86" s="82"/>
      <c r="V86" s="41"/>
      <c r="W86" s="10"/>
      <c r="X86" s="10"/>
      <c r="Y86" s="10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</row>
    <row r="87" spans="1:44" s="12" customFormat="1" ht="27" hidden="1" customHeight="1">
      <c r="A87" s="53"/>
      <c r="B87" s="46" t="s">
        <v>33</v>
      </c>
      <c r="C87" s="73"/>
      <c r="D87" s="73"/>
      <c r="E87" s="73"/>
      <c r="F87" s="73"/>
      <c r="G87" s="73"/>
      <c r="H87" s="73"/>
      <c r="I87" s="73"/>
      <c r="J87" s="73"/>
      <c r="K87" s="73"/>
      <c r="L87" s="79"/>
      <c r="M87" s="107"/>
      <c r="N87" s="107"/>
      <c r="O87" s="107"/>
      <c r="P87" s="107"/>
      <c r="Q87" s="188"/>
      <c r="R87" s="66"/>
      <c r="S87" s="66"/>
      <c r="T87" s="81"/>
      <c r="U87" s="82"/>
      <c r="V87" s="41"/>
      <c r="W87" s="10"/>
      <c r="X87" s="10"/>
      <c r="Y87" s="10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</row>
    <row r="88" spans="1:44" s="12" customFormat="1" ht="24.75" hidden="1" customHeight="1">
      <c r="A88" s="53"/>
      <c r="B88" s="54"/>
      <c r="C88" s="60"/>
      <c r="D88" s="59"/>
      <c r="E88" s="59"/>
      <c r="F88" s="59"/>
      <c r="G88" s="59"/>
      <c r="H88" s="59"/>
      <c r="I88" s="59"/>
      <c r="J88" s="59"/>
      <c r="K88" s="59"/>
      <c r="L88" s="167"/>
      <c r="M88" s="107"/>
      <c r="N88" s="107"/>
      <c r="O88" s="107"/>
      <c r="P88" s="107"/>
      <c r="Q88" s="188"/>
      <c r="R88" s="85"/>
      <c r="S88" s="85"/>
      <c r="T88" s="64"/>
      <c r="U88" s="86"/>
      <c r="V88" s="41"/>
      <c r="W88" s="10"/>
      <c r="X88" s="10"/>
      <c r="Y88" s="10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</row>
    <row r="89" spans="1:44" s="12" customFormat="1" ht="27" customHeight="1">
      <c r="A89" s="53"/>
      <c r="B89" s="46" t="s">
        <v>170</v>
      </c>
      <c r="C89" s="73">
        <f>C91</f>
        <v>1.85</v>
      </c>
      <c r="D89" s="47"/>
      <c r="E89" s="47">
        <f>E91</f>
        <v>169668</v>
      </c>
      <c r="F89" s="47">
        <f>F91</f>
        <v>161184.6</v>
      </c>
      <c r="G89" s="47">
        <f>G91</f>
        <v>8483.3999999999942</v>
      </c>
      <c r="H89" s="47">
        <f>H91</f>
        <v>1.4500000000000002</v>
      </c>
      <c r="I89" s="47"/>
      <c r="J89" s="47">
        <f>J91</f>
        <v>169668</v>
      </c>
      <c r="K89" s="47">
        <f>K91</f>
        <v>161184.6</v>
      </c>
      <c r="L89" s="48">
        <f>L91</f>
        <v>8483.3999999999942</v>
      </c>
      <c r="M89" s="107"/>
      <c r="N89" s="107"/>
      <c r="O89" s="107"/>
      <c r="P89" s="107"/>
      <c r="Q89" s="188"/>
      <c r="R89" s="50" t="e">
        <f>#REF!</f>
        <v>#REF!</v>
      </c>
      <c r="S89" s="47"/>
      <c r="T89" s="47" t="e">
        <f>#REF!</f>
        <v>#REF!</v>
      </c>
      <c r="U89" s="47" t="e">
        <f>#REF!</f>
        <v>#REF!</v>
      </c>
      <c r="V89" s="49" t="e">
        <f>#REF!</f>
        <v>#REF!</v>
      </c>
      <c r="W89" s="10"/>
      <c r="X89" s="10"/>
      <c r="Y89" s="10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</row>
    <row r="90" spans="1:44" s="12" customFormat="1" ht="40.5" customHeight="1">
      <c r="A90" s="53"/>
      <c r="B90" s="89" t="s">
        <v>158</v>
      </c>
      <c r="C90" s="88"/>
      <c r="D90" s="88"/>
      <c r="E90" s="88"/>
      <c r="F90" s="88"/>
      <c r="G90" s="88"/>
      <c r="H90" s="88"/>
      <c r="I90" s="59"/>
      <c r="J90" s="59"/>
      <c r="K90" s="59"/>
      <c r="L90" s="167"/>
      <c r="M90" s="107"/>
      <c r="N90" s="107"/>
      <c r="O90" s="107"/>
      <c r="P90" s="107"/>
      <c r="Q90" s="188"/>
      <c r="R90" s="62"/>
      <c r="S90" s="62"/>
      <c r="T90" s="57"/>
      <c r="U90" s="58"/>
      <c r="V90" s="61"/>
      <c r="W90" s="10"/>
      <c r="X90" s="10"/>
      <c r="Y90" s="10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</row>
    <row r="91" spans="1:44" s="12" customFormat="1" ht="42" customHeight="1">
      <c r="A91" s="53">
        <v>64</v>
      </c>
      <c r="B91" s="54" t="s">
        <v>34</v>
      </c>
      <c r="C91" s="55">
        <v>1.85</v>
      </c>
      <c r="D91" s="47"/>
      <c r="E91" s="57">
        <f>339336/2</f>
        <v>169668</v>
      </c>
      <c r="F91" s="57">
        <f>161184.6</f>
        <v>161184.6</v>
      </c>
      <c r="G91" s="57">
        <f>E91-F91</f>
        <v>8483.3999999999942</v>
      </c>
      <c r="H91" s="55">
        <f>1.11+0.34</f>
        <v>1.4500000000000002</v>
      </c>
      <c r="I91" s="47"/>
      <c r="J91" s="57">
        <v>169668</v>
      </c>
      <c r="K91" s="57">
        <f>161184.6</f>
        <v>161184.6</v>
      </c>
      <c r="L91" s="58">
        <f>J91-K91</f>
        <v>8483.3999999999942</v>
      </c>
      <c r="M91" s="107"/>
      <c r="N91" s="107"/>
      <c r="O91" s="107"/>
      <c r="P91" s="107"/>
      <c r="Q91" s="188"/>
      <c r="R91" s="62"/>
      <c r="S91" s="62"/>
      <c r="T91" s="57"/>
      <c r="U91" s="58"/>
      <c r="V91" s="61"/>
      <c r="W91" s="10"/>
      <c r="X91" s="10"/>
      <c r="Y91" s="10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</row>
    <row r="92" spans="1:44" s="12" customFormat="1" ht="24.75" customHeight="1">
      <c r="A92" s="53"/>
      <c r="B92" s="46" t="s">
        <v>35</v>
      </c>
      <c r="C92" s="47"/>
      <c r="D92" s="47"/>
      <c r="E92" s="47"/>
      <c r="F92" s="47"/>
      <c r="G92" s="47"/>
      <c r="H92" s="47">
        <f>H93</f>
        <v>7.2519999999999998</v>
      </c>
      <c r="I92" s="47"/>
      <c r="J92" s="47">
        <f>J93</f>
        <v>147368.4</v>
      </c>
      <c r="K92" s="47">
        <f>K93</f>
        <v>140000</v>
      </c>
      <c r="L92" s="48">
        <f>L93</f>
        <v>7368.3999999999942</v>
      </c>
      <c r="M92" s="107"/>
      <c r="N92" s="107"/>
      <c r="O92" s="107"/>
      <c r="P92" s="107"/>
      <c r="Q92" s="188"/>
      <c r="R92" s="90">
        <f>R93</f>
        <v>1.6</v>
      </c>
      <c r="S92" s="91"/>
      <c r="T92" s="47">
        <f>T93</f>
        <v>40000</v>
      </c>
      <c r="U92" s="47">
        <f>U93</f>
        <v>38000</v>
      </c>
      <c r="V92" s="49">
        <f>V93</f>
        <v>2000</v>
      </c>
      <c r="W92" s="92"/>
      <c r="X92" s="10"/>
      <c r="Y92" s="10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</row>
    <row r="93" spans="1:44" s="12" customFormat="1" ht="39" customHeight="1">
      <c r="A93" s="53">
        <v>65</v>
      </c>
      <c r="B93" s="54" t="s">
        <v>146</v>
      </c>
      <c r="C93" s="60"/>
      <c r="D93" s="59"/>
      <c r="E93" s="59"/>
      <c r="F93" s="59"/>
      <c r="G93" s="59"/>
      <c r="H93" s="55">
        <v>7.2519999999999998</v>
      </c>
      <c r="I93" s="59"/>
      <c r="J93" s="60">
        <v>147368.4</v>
      </c>
      <c r="K93" s="60">
        <v>140000</v>
      </c>
      <c r="L93" s="170">
        <f>J93-K93</f>
        <v>7368.3999999999942</v>
      </c>
      <c r="M93" s="107"/>
      <c r="N93" s="107"/>
      <c r="O93" s="107"/>
      <c r="P93" s="107"/>
      <c r="Q93" s="188"/>
      <c r="R93" s="93">
        <v>1.6</v>
      </c>
      <c r="S93" s="94"/>
      <c r="T93" s="87">
        <v>40000</v>
      </c>
      <c r="U93" s="95">
        <f>T93*0.95</f>
        <v>38000</v>
      </c>
      <c r="V93" s="96">
        <f>T93-U93</f>
        <v>2000</v>
      </c>
      <c r="W93" s="130">
        <f>K93/J93*100</f>
        <v>95.000013571430515</v>
      </c>
      <c r="X93" s="10"/>
      <c r="Y93" s="10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</row>
    <row r="94" spans="1:44" s="12" customFormat="1" ht="27.75" hidden="1" customHeight="1">
      <c r="A94" s="53"/>
      <c r="B94" s="46" t="s">
        <v>36</v>
      </c>
      <c r="C94" s="47"/>
      <c r="D94" s="47"/>
      <c r="E94" s="47"/>
      <c r="F94" s="47"/>
      <c r="G94" s="47"/>
      <c r="H94" s="47"/>
      <c r="I94" s="47"/>
      <c r="J94" s="47"/>
      <c r="K94" s="47"/>
      <c r="L94" s="48"/>
      <c r="M94" s="107"/>
      <c r="N94" s="107"/>
      <c r="O94" s="107"/>
      <c r="P94" s="107"/>
      <c r="Q94" s="188"/>
      <c r="R94" s="50">
        <f>R95</f>
        <v>4.45</v>
      </c>
      <c r="S94" s="50"/>
      <c r="T94" s="47">
        <f>T95</f>
        <v>186480</v>
      </c>
      <c r="U94" s="48">
        <f>U95</f>
        <v>186480</v>
      </c>
      <c r="V94" s="41"/>
      <c r="W94" s="10" t="s">
        <v>19</v>
      </c>
      <c r="X94" s="10"/>
      <c r="Y94" s="10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</row>
    <row r="95" spans="1:44" s="12" customFormat="1" ht="27.75" hidden="1" customHeight="1">
      <c r="A95" s="53"/>
      <c r="B95" s="97"/>
      <c r="C95" s="91"/>
      <c r="D95" s="47"/>
      <c r="E95" s="47"/>
      <c r="F95" s="47"/>
      <c r="G95" s="81"/>
      <c r="H95" s="91"/>
      <c r="I95" s="91"/>
      <c r="J95" s="44"/>
      <c r="K95" s="44"/>
      <c r="L95" s="45"/>
      <c r="M95" s="107"/>
      <c r="N95" s="107"/>
      <c r="O95" s="107"/>
      <c r="P95" s="107"/>
      <c r="Q95" s="188"/>
      <c r="R95" s="99">
        <v>4.45</v>
      </c>
      <c r="S95" s="90"/>
      <c r="T95" s="47">
        <v>186480</v>
      </c>
      <c r="U95" s="48">
        <f>T95</f>
        <v>186480</v>
      </c>
      <c r="V95" s="41"/>
      <c r="W95" s="10"/>
      <c r="X95" s="10"/>
      <c r="Y95" s="10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</row>
    <row r="96" spans="1:44" s="12" customFormat="1" ht="27" hidden="1" customHeight="1">
      <c r="A96" s="53"/>
      <c r="B96" s="54" t="s">
        <v>37</v>
      </c>
      <c r="C96" s="91"/>
      <c r="D96" s="47"/>
      <c r="E96" s="47"/>
      <c r="F96" s="47"/>
      <c r="G96" s="81"/>
      <c r="H96" s="91"/>
      <c r="I96" s="91"/>
      <c r="J96" s="44"/>
      <c r="K96" s="44"/>
      <c r="L96" s="45"/>
      <c r="M96" s="107"/>
      <c r="N96" s="107"/>
      <c r="O96" s="107"/>
      <c r="P96" s="107"/>
      <c r="Q96" s="188"/>
      <c r="R96" s="99"/>
      <c r="S96" s="90"/>
      <c r="T96" s="47"/>
      <c r="U96" s="48"/>
      <c r="V96" s="41"/>
      <c r="W96" s="10"/>
      <c r="X96" s="10"/>
      <c r="Y96" s="10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</row>
    <row r="97" spans="1:44" s="12" customFormat="1" ht="26.25" hidden="1" customHeight="1">
      <c r="A97" s="53"/>
      <c r="B97" s="54" t="s">
        <v>38</v>
      </c>
      <c r="C97" s="91"/>
      <c r="D97" s="47"/>
      <c r="E97" s="47"/>
      <c r="F97" s="47"/>
      <c r="G97" s="81"/>
      <c r="H97" s="91"/>
      <c r="I97" s="91"/>
      <c r="J97" s="44"/>
      <c r="K97" s="44"/>
      <c r="L97" s="45"/>
      <c r="M97" s="107"/>
      <c r="N97" s="107"/>
      <c r="O97" s="107"/>
      <c r="P97" s="107"/>
      <c r="Q97" s="188"/>
      <c r="R97" s="99"/>
      <c r="S97" s="90"/>
      <c r="T97" s="47"/>
      <c r="U97" s="48"/>
      <c r="V97" s="41"/>
      <c r="W97" s="10"/>
      <c r="X97" s="10"/>
      <c r="Y97" s="10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</row>
    <row r="98" spans="1:44" s="13" customFormat="1" ht="24" customHeight="1">
      <c r="A98" s="100"/>
      <c r="B98" s="46" t="s">
        <v>166</v>
      </c>
      <c r="C98" s="73"/>
      <c r="D98" s="73"/>
      <c r="E98" s="73"/>
      <c r="F98" s="73"/>
      <c r="G98" s="73"/>
      <c r="H98" s="73">
        <f>H99</f>
        <v>5.9379999999999997</v>
      </c>
      <c r="I98" s="73"/>
      <c r="J98" s="73">
        <f>J99</f>
        <v>75377.3</v>
      </c>
      <c r="K98" s="73">
        <f>K99</f>
        <v>71608.399999999994</v>
      </c>
      <c r="L98" s="79">
        <f>L99</f>
        <v>3768.9000000000087</v>
      </c>
      <c r="M98" s="177"/>
      <c r="N98" s="177"/>
      <c r="O98" s="177"/>
      <c r="P98" s="177"/>
      <c r="Q98" s="189"/>
      <c r="R98" s="50" t="e">
        <f>#REF!</f>
        <v>#REF!</v>
      </c>
      <c r="S98" s="47"/>
      <c r="T98" s="47" t="e">
        <f>#REF!</f>
        <v>#REF!</v>
      </c>
      <c r="U98" s="47" t="e">
        <f>#REF!</f>
        <v>#REF!</v>
      </c>
      <c r="V98" s="49" t="e">
        <f>#REF!</f>
        <v>#REF!</v>
      </c>
      <c r="W98" s="10"/>
      <c r="X98" s="10"/>
      <c r="Y98" s="10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</row>
    <row r="99" spans="1:44" s="12" customFormat="1" ht="43.5" customHeight="1">
      <c r="A99" s="53">
        <v>66</v>
      </c>
      <c r="B99" s="54" t="s">
        <v>146</v>
      </c>
      <c r="C99" s="101"/>
      <c r="D99" s="101"/>
      <c r="E99" s="101"/>
      <c r="F99" s="101"/>
      <c r="G99" s="101"/>
      <c r="H99" s="55">
        <v>5.9379999999999997</v>
      </c>
      <c r="I99" s="59"/>
      <c r="J99" s="60">
        <v>75377.3</v>
      </c>
      <c r="K99" s="60">
        <v>71608.399999999994</v>
      </c>
      <c r="L99" s="170">
        <f>J99-K99</f>
        <v>3768.9000000000087</v>
      </c>
      <c r="M99" s="107"/>
      <c r="N99" s="107"/>
      <c r="O99" s="107"/>
      <c r="P99" s="107"/>
      <c r="Q99" s="188"/>
      <c r="R99" s="102"/>
      <c r="S99" s="102"/>
      <c r="T99" s="101"/>
      <c r="U99" s="103"/>
      <c r="V99" s="41"/>
      <c r="W99" s="10"/>
      <c r="X99" s="10"/>
      <c r="Y99" s="10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</row>
    <row r="100" spans="1:44" s="13" customFormat="1" ht="27" customHeight="1">
      <c r="A100" s="100"/>
      <c r="B100" s="46" t="s">
        <v>167</v>
      </c>
      <c r="C100" s="47">
        <f>C102+C105</f>
        <v>8.2070000000000007</v>
      </c>
      <c r="D100" s="47"/>
      <c r="E100" s="47">
        <f>E102+E105</f>
        <v>64090.400000000009</v>
      </c>
      <c r="F100" s="47">
        <f>F102+F105</f>
        <v>60885.864999999998</v>
      </c>
      <c r="G100" s="47">
        <f>G102+G105</f>
        <v>3204.5350000000053</v>
      </c>
      <c r="H100" s="47">
        <f>H102+H103</f>
        <v>0.21</v>
      </c>
      <c r="I100" s="47"/>
      <c r="J100" s="47">
        <f>J102+J103</f>
        <v>5690.5</v>
      </c>
      <c r="K100" s="47">
        <f>K102+K103</f>
        <v>5406</v>
      </c>
      <c r="L100" s="48">
        <f>L102+L103</f>
        <v>284.5</v>
      </c>
      <c r="M100" s="177"/>
      <c r="N100" s="177"/>
      <c r="O100" s="177"/>
      <c r="P100" s="177"/>
      <c r="Q100" s="189"/>
      <c r="R100" s="50" t="e">
        <f>#REF!+#REF!</f>
        <v>#REF!</v>
      </c>
      <c r="S100" s="50"/>
      <c r="T100" s="47" t="e">
        <f>#REF!+#REF!</f>
        <v>#REF!</v>
      </c>
      <c r="U100" s="48" t="e">
        <f>#REF!+#REF!</f>
        <v>#REF!</v>
      </c>
      <c r="V100" s="49" t="e">
        <f>#REF!+#REF!</f>
        <v>#REF!</v>
      </c>
      <c r="W100" s="10"/>
      <c r="X100" s="10"/>
      <c r="Y100" s="10"/>
      <c r="Z100" s="4" t="s">
        <v>39</v>
      </c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</row>
    <row r="101" spans="1:44" s="13" customFormat="1" ht="40.5" customHeight="1">
      <c r="A101" s="100"/>
      <c r="B101" s="54" t="s">
        <v>144</v>
      </c>
      <c r="C101" s="47"/>
      <c r="D101" s="47"/>
      <c r="E101" s="47"/>
      <c r="F101" s="47"/>
      <c r="G101" s="47"/>
      <c r="H101" s="47"/>
      <c r="I101" s="47"/>
      <c r="J101" s="47"/>
      <c r="K101" s="47"/>
      <c r="L101" s="48"/>
      <c r="M101" s="177"/>
      <c r="N101" s="177"/>
      <c r="O101" s="177"/>
      <c r="P101" s="177"/>
      <c r="Q101" s="189"/>
      <c r="R101" s="50"/>
      <c r="S101" s="50"/>
      <c r="T101" s="47"/>
      <c r="U101" s="48"/>
      <c r="V101" s="49"/>
      <c r="W101" s="10"/>
      <c r="X101" s="10"/>
      <c r="Y101" s="10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</row>
    <row r="102" spans="1:44" s="12" customFormat="1" ht="24" customHeight="1">
      <c r="A102" s="53">
        <v>67</v>
      </c>
      <c r="B102" s="54" t="s">
        <v>160</v>
      </c>
      <c r="C102" s="55">
        <v>7.12</v>
      </c>
      <c r="D102" s="80"/>
      <c r="E102" s="60">
        <f>72857.3-18578.6</f>
        <v>54278.700000000004</v>
      </c>
      <c r="F102" s="60">
        <f>E102*0.95</f>
        <v>51564.764999999999</v>
      </c>
      <c r="G102" s="170">
        <f>E102-F102</f>
        <v>2713.9350000000049</v>
      </c>
      <c r="H102" s="55"/>
      <c r="I102" s="80"/>
      <c r="J102" s="60"/>
      <c r="K102" s="60"/>
      <c r="L102" s="170"/>
      <c r="M102" s="107"/>
      <c r="N102" s="107"/>
      <c r="O102" s="107"/>
      <c r="P102" s="107"/>
      <c r="Q102" s="188"/>
      <c r="R102" s="66"/>
      <c r="S102" s="66"/>
      <c r="T102" s="104"/>
      <c r="U102" s="105"/>
      <c r="V102" s="106"/>
      <c r="W102" s="10"/>
      <c r="X102" s="10"/>
      <c r="Y102" s="10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</row>
    <row r="103" spans="1:44" s="12" customFormat="1" ht="38.25" customHeight="1">
      <c r="A103" s="53">
        <v>68</v>
      </c>
      <c r="B103" s="54" t="s">
        <v>163</v>
      </c>
      <c r="C103" s="81"/>
      <c r="D103" s="81"/>
      <c r="E103" s="81"/>
      <c r="F103" s="81"/>
      <c r="G103" s="81"/>
      <c r="H103" s="55">
        <v>0.21</v>
      </c>
      <c r="I103" s="80"/>
      <c r="J103" s="60">
        <v>5690.5</v>
      </c>
      <c r="K103" s="60">
        <v>5406</v>
      </c>
      <c r="L103" s="170">
        <f>J103-K103</f>
        <v>284.5</v>
      </c>
      <c r="M103" s="107"/>
      <c r="N103" s="107"/>
      <c r="O103" s="107"/>
      <c r="P103" s="107"/>
      <c r="Q103" s="188"/>
      <c r="R103" s="66"/>
      <c r="S103" s="66"/>
      <c r="T103" s="104"/>
      <c r="U103" s="105"/>
      <c r="V103" s="106"/>
      <c r="W103" s="179">
        <f>K103/J103*100</f>
        <v>95.000439328705738</v>
      </c>
      <c r="X103" s="10"/>
      <c r="Y103" s="10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</row>
    <row r="104" spans="1:44" s="12" customFormat="1" ht="40.5" customHeight="1">
      <c r="A104" s="53"/>
      <c r="B104" s="89" t="s">
        <v>158</v>
      </c>
      <c r="C104" s="81"/>
      <c r="D104" s="81"/>
      <c r="E104" s="81"/>
      <c r="F104" s="81"/>
      <c r="G104" s="81"/>
      <c r="H104" s="81"/>
      <c r="I104" s="81"/>
      <c r="J104" s="81"/>
      <c r="K104" s="81"/>
      <c r="L104" s="82"/>
      <c r="M104" s="107"/>
      <c r="N104" s="107"/>
      <c r="O104" s="107"/>
      <c r="P104" s="107"/>
      <c r="Q104" s="188"/>
      <c r="R104" s="66"/>
      <c r="S104" s="66"/>
      <c r="T104" s="104"/>
      <c r="U104" s="105"/>
      <c r="V104" s="106"/>
      <c r="W104" s="10"/>
      <c r="X104" s="10"/>
      <c r="Y104" s="10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</row>
    <row r="105" spans="1:44" s="12" customFormat="1" ht="41.25" customHeight="1">
      <c r="A105" s="53">
        <v>69</v>
      </c>
      <c r="B105" s="54" t="s">
        <v>40</v>
      </c>
      <c r="C105" s="133">
        <v>1.087</v>
      </c>
      <c r="D105" s="47"/>
      <c r="E105" s="57">
        <v>9811.7000000000007</v>
      </c>
      <c r="F105" s="57">
        <v>9321.1</v>
      </c>
      <c r="G105" s="57">
        <f>E105-F105</f>
        <v>490.60000000000036</v>
      </c>
      <c r="H105" s="81"/>
      <c r="I105" s="81"/>
      <c r="J105" s="81"/>
      <c r="K105" s="81"/>
      <c r="L105" s="82"/>
      <c r="M105" s="107"/>
      <c r="N105" s="107"/>
      <c r="O105" s="107"/>
      <c r="P105" s="107"/>
      <c r="Q105" s="188"/>
      <c r="R105" s="66"/>
      <c r="S105" s="66"/>
      <c r="T105" s="104"/>
      <c r="U105" s="105"/>
      <c r="V105" s="106"/>
      <c r="W105" s="10"/>
      <c r="X105" s="10"/>
      <c r="Y105" s="10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</row>
    <row r="106" spans="1:44" s="13" customFormat="1" ht="27" customHeight="1">
      <c r="A106" s="100"/>
      <c r="B106" s="46" t="s">
        <v>168</v>
      </c>
      <c r="C106" s="108"/>
      <c r="D106" s="109"/>
      <c r="E106" s="109"/>
      <c r="F106" s="109"/>
      <c r="G106" s="109"/>
      <c r="H106" s="109">
        <f>SUM(H108:H111)</f>
        <v>7.298</v>
      </c>
      <c r="I106" s="109"/>
      <c r="J106" s="109">
        <f>SUM(J108:J111)</f>
        <v>91189.8</v>
      </c>
      <c r="K106" s="109">
        <f>SUM(K108:K111)</f>
        <v>86630.299999999988</v>
      </c>
      <c r="L106" s="171">
        <f>SUM(L108:L111)</f>
        <v>4559.5000000000055</v>
      </c>
      <c r="M106" s="177"/>
      <c r="N106" s="177"/>
      <c r="O106" s="177"/>
      <c r="P106" s="177"/>
      <c r="Q106" s="189"/>
      <c r="R106" s="50" t="e">
        <f>#REF!</f>
        <v>#REF!</v>
      </c>
      <c r="S106" s="47"/>
      <c r="T106" s="47" t="e">
        <f>#REF!</f>
        <v>#REF!</v>
      </c>
      <c r="U106" s="47" t="e">
        <f>#REF!</f>
        <v>#REF!</v>
      </c>
      <c r="V106" s="49" t="e">
        <f>#REF!</f>
        <v>#REF!</v>
      </c>
      <c r="W106" s="110"/>
      <c r="X106" s="10" t="s">
        <v>19</v>
      </c>
      <c r="Y106" s="10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</row>
    <row r="107" spans="1:44" ht="40.5" customHeight="1">
      <c r="A107" s="53"/>
      <c r="B107" s="54" t="s">
        <v>144</v>
      </c>
      <c r="C107" s="81"/>
      <c r="D107" s="81"/>
      <c r="E107" s="81"/>
      <c r="F107" s="81"/>
      <c r="G107" s="81"/>
      <c r="H107" s="81"/>
      <c r="I107" s="81"/>
      <c r="J107" s="81"/>
      <c r="K107" s="81"/>
      <c r="L107" s="82"/>
      <c r="M107" s="176"/>
      <c r="N107" s="176"/>
      <c r="O107" s="176"/>
      <c r="P107" s="176"/>
      <c r="Q107" s="187"/>
      <c r="R107" s="111"/>
      <c r="S107" s="81"/>
      <c r="T107" s="81"/>
      <c r="U107" s="82"/>
      <c r="V107" s="41"/>
      <c r="W107" s="10"/>
      <c r="X107" s="10"/>
      <c r="Y107" s="10"/>
      <c r="Z107" s="140" t="s">
        <v>12</v>
      </c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</row>
    <row r="108" spans="1:44" ht="39" customHeight="1">
      <c r="A108" s="53">
        <v>70</v>
      </c>
      <c r="B108" s="67" t="s">
        <v>41</v>
      </c>
      <c r="C108" s="81"/>
      <c r="D108" s="81"/>
      <c r="E108" s="81"/>
      <c r="F108" s="81"/>
      <c r="G108" s="81"/>
      <c r="H108" s="55">
        <v>1.0169999999999999</v>
      </c>
      <c r="I108" s="80"/>
      <c r="J108" s="60">
        <v>10878.19</v>
      </c>
      <c r="K108" s="60">
        <f>J108*0.95</f>
        <v>10334.280500000001</v>
      </c>
      <c r="L108" s="170">
        <f>J108-K108</f>
        <v>543.90949999999975</v>
      </c>
      <c r="M108" s="176"/>
      <c r="N108" s="176"/>
      <c r="O108" s="176"/>
      <c r="P108" s="176"/>
      <c r="Q108" s="187"/>
      <c r="R108" s="111"/>
      <c r="S108" s="66"/>
      <c r="T108" s="81"/>
      <c r="U108" s="82"/>
      <c r="V108" s="41"/>
      <c r="W108" s="10"/>
      <c r="X108" s="10"/>
      <c r="Y108" s="10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</row>
    <row r="109" spans="1:44" ht="24" customHeight="1">
      <c r="A109" s="53">
        <v>71</v>
      </c>
      <c r="B109" s="67" t="s">
        <v>98</v>
      </c>
      <c r="C109" s="81"/>
      <c r="D109" s="81"/>
      <c r="E109" s="81"/>
      <c r="F109" s="81"/>
      <c r="G109" s="81"/>
      <c r="H109" s="55">
        <v>2.395</v>
      </c>
      <c r="I109" s="80"/>
      <c r="J109" s="60">
        <v>22472.47</v>
      </c>
      <c r="K109" s="60">
        <f>J109*0.95</f>
        <v>21348.8465</v>
      </c>
      <c r="L109" s="170">
        <f>J109-K109</f>
        <v>1123.6235000000015</v>
      </c>
      <c r="M109" s="176"/>
      <c r="N109" s="176"/>
      <c r="O109" s="176"/>
      <c r="P109" s="176"/>
      <c r="Q109" s="187"/>
      <c r="R109" s="111"/>
      <c r="S109" s="66"/>
      <c r="T109" s="81"/>
      <c r="U109" s="82"/>
      <c r="V109" s="41"/>
      <c r="W109" s="10"/>
      <c r="X109" s="10"/>
      <c r="Y109" s="10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</row>
    <row r="110" spans="1:44" ht="24" customHeight="1">
      <c r="A110" s="53">
        <v>72</v>
      </c>
      <c r="B110" s="67" t="s">
        <v>97</v>
      </c>
      <c r="C110" s="81"/>
      <c r="D110" s="81"/>
      <c r="E110" s="81"/>
      <c r="F110" s="81"/>
      <c r="G110" s="81"/>
      <c r="H110" s="55">
        <v>2.4390000000000001</v>
      </c>
      <c r="I110" s="80"/>
      <c r="J110" s="60">
        <v>26581.360000000001</v>
      </c>
      <c r="K110" s="60">
        <f>J110*0.95</f>
        <v>25252.291999999998</v>
      </c>
      <c r="L110" s="170">
        <f>J110-K110</f>
        <v>1329.0680000000029</v>
      </c>
      <c r="M110" s="176"/>
      <c r="N110" s="176"/>
      <c r="O110" s="176"/>
      <c r="P110" s="176"/>
      <c r="Q110" s="187"/>
      <c r="R110" s="111"/>
      <c r="S110" s="66"/>
      <c r="T110" s="81"/>
      <c r="U110" s="82"/>
      <c r="V110" s="41"/>
      <c r="W110" s="10"/>
      <c r="X110" s="10"/>
      <c r="Y110" s="10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</row>
    <row r="111" spans="1:44" ht="22.5" customHeight="1">
      <c r="A111" s="53">
        <v>73</v>
      </c>
      <c r="B111" s="67" t="s">
        <v>42</v>
      </c>
      <c r="C111" s="81"/>
      <c r="D111" s="81"/>
      <c r="E111" s="81"/>
      <c r="F111" s="81"/>
      <c r="G111" s="81"/>
      <c r="H111" s="55">
        <v>1.4470000000000001</v>
      </c>
      <c r="I111" s="81"/>
      <c r="J111" s="60">
        <v>31257.78</v>
      </c>
      <c r="K111" s="60">
        <f>J111*0.95-0.01</f>
        <v>29694.880999999998</v>
      </c>
      <c r="L111" s="170">
        <f>J111-K111</f>
        <v>1562.8990000000013</v>
      </c>
      <c r="M111" s="176"/>
      <c r="N111" s="176"/>
      <c r="O111" s="176"/>
      <c r="P111" s="176"/>
      <c r="Q111" s="187"/>
      <c r="R111" s="111"/>
      <c r="S111" s="66"/>
      <c r="T111" s="81"/>
      <c r="U111" s="82"/>
      <c r="V111" s="41"/>
      <c r="W111" s="10"/>
      <c r="X111" s="10"/>
      <c r="Y111" s="10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</row>
    <row r="112" spans="1:44" ht="44.25" customHeight="1">
      <c r="A112" s="53"/>
      <c r="B112" s="180" t="s">
        <v>169</v>
      </c>
      <c r="C112" s="47">
        <f>SUM(C114:C137)</f>
        <v>18.654</v>
      </c>
      <c r="D112" s="109"/>
      <c r="E112" s="47">
        <f>SUM(E114:E137)</f>
        <v>196842.1</v>
      </c>
      <c r="F112" s="47">
        <f>SUM(F114:F137)</f>
        <v>187000.00000999999</v>
      </c>
      <c r="G112" s="47">
        <f>SUM(G114:G137)</f>
        <v>9842.0999900000024</v>
      </c>
      <c r="H112" s="109"/>
      <c r="I112" s="109"/>
      <c r="J112" s="109"/>
      <c r="K112" s="109"/>
      <c r="L112" s="171"/>
      <c r="M112" s="176"/>
      <c r="N112" s="176"/>
      <c r="O112" s="176"/>
      <c r="P112" s="176"/>
      <c r="Q112" s="187"/>
      <c r="R112" s="50" t="e">
        <f>#REF!</f>
        <v>#REF!</v>
      </c>
      <c r="S112" s="50"/>
      <c r="T112" s="47" t="e">
        <f>#REF!</f>
        <v>#REF!</v>
      </c>
      <c r="U112" s="48" t="e">
        <f>#REF!</f>
        <v>#REF!</v>
      </c>
      <c r="V112" s="49" t="e">
        <f>#REF!</f>
        <v>#REF!</v>
      </c>
      <c r="W112" s="84" t="e">
        <f>C112-#REF!</f>
        <v>#REF!</v>
      </c>
      <c r="X112" s="10"/>
      <c r="Y112" s="10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</row>
    <row r="113" spans="1:42" ht="42.75" customHeight="1">
      <c r="A113" s="53"/>
      <c r="B113" s="54" t="s">
        <v>144</v>
      </c>
      <c r="C113" s="57">
        <f>SUM(C114:C131)</f>
        <v>15.994000000000002</v>
      </c>
      <c r="D113" s="80"/>
      <c r="E113" s="60">
        <f>SUM(E114:E131)</f>
        <v>171073.11255000002</v>
      </c>
      <c r="F113" s="60">
        <f t="shared" ref="F113:G113" si="16">SUM(F114:F131)</f>
        <v>162519.46192999999</v>
      </c>
      <c r="G113" s="60">
        <f t="shared" si="16"/>
        <v>8553.650620000004</v>
      </c>
      <c r="H113" s="81"/>
      <c r="I113" s="81"/>
      <c r="J113" s="81"/>
      <c r="K113" s="81"/>
      <c r="L113" s="82"/>
      <c r="M113" s="176"/>
      <c r="N113" s="176"/>
      <c r="O113" s="176"/>
      <c r="P113" s="176"/>
      <c r="Q113" s="187"/>
      <c r="R113" s="111"/>
      <c r="S113" s="81"/>
      <c r="T113" s="81"/>
      <c r="U113" s="82"/>
      <c r="V113" s="41"/>
      <c r="W113" s="10"/>
      <c r="X113" s="10"/>
      <c r="Y113" s="10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</row>
    <row r="114" spans="1:42" ht="26.25" customHeight="1">
      <c r="A114" s="53">
        <v>74</v>
      </c>
      <c r="B114" s="144" t="s">
        <v>43</v>
      </c>
      <c r="C114" s="134">
        <v>0.63</v>
      </c>
      <c r="D114" s="134"/>
      <c r="E114" s="141">
        <v>13029.3</v>
      </c>
      <c r="F114" s="141">
        <v>12377.84</v>
      </c>
      <c r="G114" s="141">
        <f t="shared" ref="G114:G131" si="17">E114-F114</f>
        <v>651.45999999999913</v>
      </c>
      <c r="H114" s="112"/>
      <c r="I114" s="112"/>
      <c r="J114" s="112"/>
      <c r="K114" s="112"/>
      <c r="L114" s="172"/>
      <c r="M114" s="176"/>
      <c r="N114" s="176"/>
      <c r="O114" s="176"/>
      <c r="P114" s="176"/>
      <c r="Q114" s="187"/>
      <c r="R114" s="114"/>
      <c r="S114" s="85"/>
      <c r="T114" s="64"/>
      <c r="U114" s="86"/>
      <c r="V114" s="41"/>
      <c r="W114" s="10"/>
      <c r="X114" s="10"/>
      <c r="Y114" s="10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</row>
    <row r="115" spans="1:42" ht="22.5" customHeight="1">
      <c r="A115" s="53">
        <v>75</v>
      </c>
      <c r="B115" s="144" t="s">
        <v>99</v>
      </c>
      <c r="C115" s="134">
        <v>0.29499999999999998</v>
      </c>
      <c r="D115" s="134"/>
      <c r="E115" s="141">
        <v>4116.42</v>
      </c>
      <c r="F115" s="141">
        <v>3910.5990000000002</v>
      </c>
      <c r="G115" s="141">
        <f t="shared" si="17"/>
        <v>205.82099999999991</v>
      </c>
      <c r="H115" s="112"/>
      <c r="I115" s="112"/>
      <c r="J115" s="112"/>
      <c r="K115" s="112"/>
      <c r="L115" s="172"/>
      <c r="M115" s="176"/>
      <c r="N115" s="176"/>
      <c r="O115" s="176"/>
      <c r="P115" s="176"/>
      <c r="Q115" s="187"/>
      <c r="R115" s="114"/>
      <c r="S115" s="85"/>
      <c r="T115" s="64"/>
      <c r="U115" s="86"/>
      <c r="V115" s="41"/>
      <c r="W115" s="10"/>
      <c r="X115" s="10"/>
      <c r="Y115" s="10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</row>
    <row r="116" spans="1:42" ht="26.25" customHeight="1">
      <c r="A116" s="53">
        <v>76</v>
      </c>
      <c r="B116" s="144" t="s">
        <v>44</v>
      </c>
      <c r="C116" s="134">
        <v>0.56000000000000005</v>
      </c>
      <c r="D116" s="134"/>
      <c r="E116" s="141">
        <v>4266.7570500000002</v>
      </c>
      <c r="F116" s="141">
        <v>4053.4191999999998</v>
      </c>
      <c r="G116" s="141">
        <f t="shared" si="17"/>
        <v>213.33785000000034</v>
      </c>
      <c r="H116" s="112"/>
      <c r="I116" s="112"/>
      <c r="J116" s="112"/>
      <c r="K116" s="112"/>
      <c r="L116" s="172"/>
      <c r="M116" s="176"/>
      <c r="N116" s="176"/>
      <c r="O116" s="176"/>
      <c r="P116" s="176"/>
      <c r="Q116" s="187"/>
      <c r="R116" s="114"/>
      <c r="S116" s="85"/>
      <c r="T116" s="64"/>
      <c r="U116" s="86"/>
      <c r="V116" s="41"/>
      <c r="W116" s="10"/>
      <c r="X116" s="10"/>
      <c r="Y116" s="10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</row>
    <row r="117" spans="1:42" ht="26.25" customHeight="1">
      <c r="A117" s="53">
        <v>77</v>
      </c>
      <c r="B117" s="144" t="s">
        <v>100</v>
      </c>
      <c r="C117" s="134">
        <v>2.48</v>
      </c>
      <c r="D117" s="134"/>
      <c r="E117" s="141">
        <v>22576.89</v>
      </c>
      <c r="F117" s="141">
        <v>21448.0455</v>
      </c>
      <c r="G117" s="141">
        <f t="shared" si="17"/>
        <v>1128.8444999999992</v>
      </c>
      <c r="H117" s="112"/>
      <c r="I117" s="112"/>
      <c r="J117" s="112"/>
      <c r="K117" s="112"/>
      <c r="L117" s="172"/>
      <c r="M117" s="176"/>
      <c r="N117" s="176"/>
      <c r="O117" s="176"/>
      <c r="P117" s="176"/>
      <c r="Q117" s="187"/>
      <c r="R117" s="114"/>
      <c r="S117" s="85"/>
      <c r="T117" s="64"/>
      <c r="U117" s="86"/>
      <c r="V117" s="41"/>
      <c r="W117" s="10"/>
      <c r="X117" s="10"/>
      <c r="Y117" s="10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</row>
    <row r="118" spans="1:42" ht="26.25" customHeight="1">
      <c r="A118" s="53">
        <v>78</v>
      </c>
      <c r="B118" s="144" t="s">
        <v>101</v>
      </c>
      <c r="C118" s="134">
        <v>0.55000000000000004</v>
      </c>
      <c r="D118" s="134"/>
      <c r="E118" s="141">
        <v>4980.22</v>
      </c>
      <c r="F118" s="141">
        <v>4731.2089999999998</v>
      </c>
      <c r="G118" s="141">
        <f t="shared" si="17"/>
        <v>249.01100000000042</v>
      </c>
      <c r="H118" s="112"/>
      <c r="I118" s="112"/>
      <c r="J118" s="112"/>
      <c r="K118" s="112"/>
      <c r="L118" s="172"/>
      <c r="M118" s="176"/>
      <c r="N118" s="176"/>
      <c r="O118" s="176"/>
      <c r="P118" s="176"/>
      <c r="Q118" s="187"/>
      <c r="R118" s="114"/>
      <c r="S118" s="85"/>
      <c r="T118" s="64"/>
      <c r="U118" s="86"/>
      <c r="V118" s="41"/>
      <c r="W118" s="10"/>
      <c r="X118" s="10"/>
      <c r="Y118" s="10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</row>
    <row r="119" spans="1:42" ht="28.5" customHeight="1">
      <c r="A119" s="53">
        <v>79</v>
      </c>
      <c r="B119" s="144" t="s">
        <v>45</v>
      </c>
      <c r="C119" s="134">
        <v>1.4850000000000001</v>
      </c>
      <c r="D119" s="134"/>
      <c r="E119" s="141">
        <v>6733.9</v>
      </c>
      <c r="F119" s="141">
        <v>6397.2049999999999</v>
      </c>
      <c r="G119" s="141">
        <f t="shared" si="17"/>
        <v>336.69499999999971</v>
      </c>
      <c r="H119" s="112"/>
      <c r="I119" s="112"/>
      <c r="J119" s="112"/>
      <c r="K119" s="112"/>
      <c r="L119" s="172"/>
      <c r="M119" s="176"/>
      <c r="N119" s="176"/>
      <c r="O119" s="176"/>
      <c r="P119" s="176"/>
      <c r="Q119" s="187"/>
      <c r="R119" s="114"/>
      <c r="S119" s="85"/>
      <c r="T119" s="64"/>
      <c r="U119" s="86"/>
      <c r="V119" s="41"/>
      <c r="W119" s="10"/>
      <c r="X119" s="10"/>
      <c r="Y119" s="10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</row>
    <row r="120" spans="1:42" ht="26.25" customHeight="1">
      <c r="A120" s="53">
        <v>80</v>
      </c>
      <c r="B120" s="144" t="s">
        <v>46</v>
      </c>
      <c r="C120" s="134">
        <v>0.94499999999999995</v>
      </c>
      <c r="D120" s="134"/>
      <c r="E120" s="141">
        <v>16761.8</v>
      </c>
      <c r="F120" s="141">
        <v>15923.71</v>
      </c>
      <c r="G120" s="141">
        <f t="shared" si="17"/>
        <v>838.09000000000015</v>
      </c>
      <c r="H120" s="112"/>
      <c r="I120" s="112"/>
      <c r="J120" s="112"/>
      <c r="K120" s="112"/>
      <c r="L120" s="172"/>
      <c r="M120" s="176"/>
      <c r="N120" s="176"/>
      <c r="O120" s="176"/>
      <c r="P120" s="176"/>
      <c r="Q120" s="187"/>
      <c r="R120" s="114"/>
      <c r="S120" s="85"/>
      <c r="T120" s="64"/>
      <c r="U120" s="86"/>
      <c r="V120" s="41"/>
      <c r="W120" s="10"/>
      <c r="X120" s="10"/>
      <c r="Y120" s="10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</row>
    <row r="121" spans="1:42" ht="25.5" customHeight="1">
      <c r="A121" s="53">
        <v>81</v>
      </c>
      <c r="B121" s="144" t="s">
        <v>47</v>
      </c>
      <c r="C121" s="134">
        <v>0.56999999999999995</v>
      </c>
      <c r="D121" s="134"/>
      <c r="E121" s="141">
        <v>7912.8077999999996</v>
      </c>
      <c r="F121" s="141">
        <v>7517.16741</v>
      </c>
      <c r="G121" s="141">
        <f t="shared" si="17"/>
        <v>395.64038999999957</v>
      </c>
      <c r="H121" s="112"/>
      <c r="I121" s="112"/>
      <c r="J121" s="112"/>
      <c r="K121" s="112"/>
      <c r="L121" s="172"/>
      <c r="M121" s="176"/>
      <c r="N121" s="176"/>
      <c r="O121" s="176"/>
      <c r="P121" s="176"/>
      <c r="Q121" s="187"/>
      <c r="R121" s="114"/>
      <c r="S121" s="85"/>
      <c r="T121" s="64"/>
      <c r="U121" s="86"/>
      <c r="V121" s="41"/>
      <c r="W121" s="10"/>
      <c r="X121" s="10"/>
      <c r="Y121" s="10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</row>
    <row r="122" spans="1:42" ht="25.5" customHeight="1">
      <c r="A122" s="53">
        <v>82</v>
      </c>
      <c r="B122" s="144" t="s">
        <v>48</v>
      </c>
      <c r="C122" s="134">
        <v>0.29299999999999998</v>
      </c>
      <c r="D122" s="134"/>
      <c r="E122" s="141">
        <v>3574.58</v>
      </c>
      <c r="F122" s="141">
        <v>3395.8510000000001</v>
      </c>
      <c r="G122" s="141">
        <f t="shared" si="17"/>
        <v>178.72899999999981</v>
      </c>
      <c r="H122" s="112"/>
      <c r="I122" s="112"/>
      <c r="J122" s="112"/>
      <c r="K122" s="112"/>
      <c r="L122" s="172"/>
      <c r="M122" s="176"/>
      <c r="N122" s="176"/>
      <c r="O122" s="176"/>
      <c r="P122" s="176"/>
      <c r="Q122" s="187"/>
      <c r="R122" s="114"/>
      <c r="S122" s="85"/>
      <c r="T122" s="64"/>
      <c r="U122" s="86"/>
      <c r="V122" s="41"/>
      <c r="W122" s="10"/>
      <c r="X122" s="10"/>
      <c r="Y122" s="10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</row>
    <row r="123" spans="1:42" ht="26.1" customHeight="1">
      <c r="A123" s="53">
        <v>83</v>
      </c>
      <c r="B123" s="144" t="s">
        <v>49</v>
      </c>
      <c r="C123" s="134">
        <v>0.51300000000000001</v>
      </c>
      <c r="D123" s="134"/>
      <c r="E123" s="141">
        <v>6310.36</v>
      </c>
      <c r="F123" s="141">
        <v>5994.8419999999996</v>
      </c>
      <c r="G123" s="141">
        <f t="shared" si="17"/>
        <v>315.51800000000003</v>
      </c>
      <c r="H123" s="112"/>
      <c r="I123" s="112"/>
      <c r="J123" s="112"/>
      <c r="K123" s="112"/>
      <c r="L123" s="172"/>
      <c r="M123" s="176"/>
      <c r="N123" s="176"/>
      <c r="O123" s="176"/>
      <c r="P123" s="176"/>
      <c r="Q123" s="187"/>
      <c r="R123" s="114"/>
      <c r="S123" s="85"/>
      <c r="T123" s="64"/>
      <c r="U123" s="86"/>
      <c r="V123" s="41"/>
      <c r="W123" s="10"/>
      <c r="X123" s="10"/>
      <c r="Y123" s="10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</row>
    <row r="124" spans="1:42" ht="26.1" customHeight="1">
      <c r="A124" s="53">
        <v>84</v>
      </c>
      <c r="B124" s="144" t="s">
        <v>103</v>
      </c>
      <c r="C124" s="134">
        <v>0.55300000000000005</v>
      </c>
      <c r="D124" s="134"/>
      <c r="E124" s="141">
        <v>1268.941</v>
      </c>
      <c r="F124" s="141">
        <v>1205.49395</v>
      </c>
      <c r="G124" s="141">
        <f t="shared" si="17"/>
        <v>63.44704999999999</v>
      </c>
      <c r="H124" s="112"/>
      <c r="I124" s="112"/>
      <c r="J124" s="112"/>
      <c r="K124" s="112"/>
      <c r="L124" s="172"/>
      <c r="M124" s="176"/>
      <c r="N124" s="176"/>
      <c r="O124" s="176"/>
      <c r="P124" s="176"/>
      <c r="Q124" s="187"/>
      <c r="R124" s="114"/>
      <c r="S124" s="85"/>
      <c r="T124" s="64"/>
      <c r="U124" s="86"/>
      <c r="V124" s="41"/>
      <c r="W124" s="10"/>
      <c r="X124" s="10"/>
      <c r="Y124" s="10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</row>
    <row r="125" spans="1:42" ht="26.1" customHeight="1">
      <c r="A125" s="53">
        <v>85</v>
      </c>
      <c r="B125" s="144" t="s">
        <v>50</v>
      </c>
      <c r="C125" s="134">
        <v>0.56000000000000005</v>
      </c>
      <c r="D125" s="134"/>
      <c r="E125" s="141">
        <v>348.19069999999999</v>
      </c>
      <c r="F125" s="141">
        <v>330.78116999999997</v>
      </c>
      <c r="G125" s="141">
        <f t="shared" si="17"/>
        <v>17.409530000000018</v>
      </c>
      <c r="H125" s="112"/>
      <c r="I125" s="112"/>
      <c r="J125" s="112"/>
      <c r="K125" s="112"/>
      <c r="L125" s="172"/>
      <c r="M125" s="176"/>
      <c r="N125" s="176"/>
      <c r="O125" s="176"/>
      <c r="P125" s="176"/>
      <c r="Q125" s="187"/>
      <c r="R125" s="114"/>
      <c r="S125" s="85"/>
      <c r="T125" s="64"/>
      <c r="U125" s="86"/>
      <c r="V125" s="41"/>
      <c r="W125" s="10"/>
      <c r="X125" s="10"/>
      <c r="Y125" s="10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</row>
    <row r="126" spans="1:42" ht="26.1" customHeight="1">
      <c r="A126" s="53">
        <v>86</v>
      </c>
      <c r="B126" s="144" t="s">
        <v>51</v>
      </c>
      <c r="C126" s="134">
        <v>3.1</v>
      </c>
      <c r="D126" s="134"/>
      <c r="E126" s="141">
        <v>22698.74</v>
      </c>
      <c r="F126" s="141">
        <v>21563.803</v>
      </c>
      <c r="G126" s="141">
        <f t="shared" si="17"/>
        <v>1134.9370000000017</v>
      </c>
      <c r="H126" s="112"/>
      <c r="I126" s="112"/>
      <c r="J126" s="112"/>
      <c r="K126" s="112"/>
      <c r="L126" s="172"/>
      <c r="M126" s="176"/>
      <c r="N126" s="176"/>
      <c r="O126" s="176"/>
      <c r="P126" s="176"/>
      <c r="Q126" s="187"/>
      <c r="R126" s="114"/>
      <c r="S126" s="85"/>
      <c r="T126" s="64"/>
      <c r="U126" s="86"/>
      <c r="V126" s="41"/>
      <c r="W126" s="10"/>
      <c r="X126" s="10"/>
      <c r="Y126" s="10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</row>
    <row r="127" spans="1:42" ht="26.1" customHeight="1">
      <c r="A127" s="53">
        <v>87</v>
      </c>
      <c r="B127" s="144" t="s">
        <v>52</v>
      </c>
      <c r="C127" s="134">
        <v>0.88100000000000001</v>
      </c>
      <c r="D127" s="134"/>
      <c r="E127" s="141">
        <v>8561.6</v>
      </c>
      <c r="F127" s="141">
        <v>8133.52</v>
      </c>
      <c r="G127" s="141">
        <f t="shared" si="17"/>
        <v>428.07999999999993</v>
      </c>
      <c r="H127" s="112"/>
      <c r="I127" s="112"/>
      <c r="J127" s="112"/>
      <c r="K127" s="112"/>
      <c r="L127" s="172"/>
      <c r="M127" s="176"/>
      <c r="N127" s="176"/>
      <c r="O127" s="176"/>
      <c r="P127" s="176"/>
      <c r="Q127" s="187"/>
      <c r="R127" s="114"/>
      <c r="S127" s="85"/>
      <c r="T127" s="64"/>
      <c r="U127" s="86"/>
      <c r="V127" s="41"/>
      <c r="W127" s="10"/>
      <c r="X127" s="10"/>
      <c r="Y127" s="10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</row>
    <row r="128" spans="1:42" ht="26.1" customHeight="1">
      <c r="A128" s="53">
        <v>88</v>
      </c>
      <c r="B128" s="144" t="s">
        <v>53</v>
      </c>
      <c r="C128" s="134">
        <v>1.78</v>
      </c>
      <c r="D128" s="134"/>
      <c r="E128" s="141">
        <v>21754.86</v>
      </c>
      <c r="F128" s="141">
        <v>20667.116999999998</v>
      </c>
      <c r="G128" s="141">
        <f t="shared" si="17"/>
        <v>1087.7430000000022</v>
      </c>
      <c r="H128" s="112"/>
      <c r="I128" s="112"/>
      <c r="J128" s="112"/>
      <c r="K128" s="112"/>
      <c r="L128" s="172"/>
      <c r="M128" s="176"/>
      <c r="N128" s="176"/>
      <c r="O128" s="176"/>
      <c r="P128" s="176"/>
      <c r="Q128" s="187"/>
      <c r="R128" s="114"/>
      <c r="S128" s="85"/>
      <c r="T128" s="64"/>
      <c r="U128" s="86"/>
      <c r="V128" s="41"/>
      <c r="W128" s="10"/>
      <c r="X128" s="10"/>
      <c r="Y128" s="10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</row>
    <row r="129" spans="1:42" ht="26.1" customHeight="1">
      <c r="A129" s="53">
        <v>89</v>
      </c>
      <c r="B129" s="144" t="s">
        <v>54</v>
      </c>
      <c r="C129" s="134">
        <v>0.47099999999999997</v>
      </c>
      <c r="D129" s="134"/>
      <c r="E129" s="141">
        <v>23435.99</v>
      </c>
      <c r="F129" s="141">
        <v>22264.190500000001</v>
      </c>
      <c r="G129" s="141">
        <f t="shared" si="17"/>
        <v>1171.799500000001</v>
      </c>
      <c r="H129" s="112"/>
      <c r="I129" s="112"/>
      <c r="J129" s="112"/>
      <c r="K129" s="112"/>
      <c r="L129" s="172"/>
      <c r="M129" s="176"/>
      <c r="N129" s="176"/>
      <c r="O129" s="176"/>
      <c r="P129" s="176"/>
      <c r="Q129" s="187"/>
      <c r="R129" s="114"/>
      <c r="S129" s="85"/>
      <c r="T129" s="64"/>
      <c r="U129" s="86"/>
      <c r="V129" s="41"/>
      <c r="W129" s="10"/>
      <c r="X129" s="10"/>
      <c r="Y129" s="10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</row>
    <row r="130" spans="1:42" ht="29.25" customHeight="1">
      <c r="A130" s="53">
        <v>90</v>
      </c>
      <c r="B130" s="144" t="s">
        <v>55</v>
      </c>
      <c r="C130" s="134">
        <v>0.253</v>
      </c>
      <c r="D130" s="134"/>
      <c r="E130" s="141">
        <v>2296.52</v>
      </c>
      <c r="F130" s="141">
        <v>2181.694</v>
      </c>
      <c r="G130" s="141">
        <f t="shared" si="17"/>
        <v>114.82600000000002</v>
      </c>
      <c r="H130" s="112"/>
      <c r="I130" s="112"/>
      <c r="J130" s="112"/>
      <c r="K130" s="112"/>
      <c r="L130" s="172"/>
      <c r="M130" s="176"/>
      <c r="N130" s="176"/>
      <c r="O130" s="176"/>
      <c r="P130" s="176"/>
      <c r="Q130" s="187"/>
      <c r="R130" s="114"/>
      <c r="S130" s="85"/>
      <c r="T130" s="64"/>
      <c r="U130" s="86"/>
      <c r="V130" s="41"/>
      <c r="W130" s="10"/>
      <c r="X130" s="10"/>
      <c r="Y130" s="10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</row>
    <row r="131" spans="1:42" ht="27.75" customHeight="1">
      <c r="A131" s="220">
        <v>91</v>
      </c>
      <c r="B131" s="144" t="s">
        <v>102</v>
      </c>
      <c r="C131" s="134">
        <v>7.4999999999999997E-2</v>
      </c>
      <c r="D131" s="134"/>
      <c r="E131" s="141">
        <v>445.23599999999999</v>
      </c>
      <c r="F131" s="141">
        <v>422.9742</v>
      </c>
      <c r="G131" s="141">
        <f t="shared" si="17"/>
        <v>22.261799999999994</v>
      </c>
      <c r="H131" s="112"/>
      <c r="I131" s="112"/>
      <c r="J131" s="112"/>
      <c r="K131" s="112"/>
      <c r="L131" s="172"/>
      <c r="M131" s="176"/>
      <c r="N131" s="176"/>
      <c r="O131" s="176"/>
      <c r="P131" s="176"/>
      <c r="Q131" s="187"/>
      <c r="R131" s="114"/>
      <c r="S131" s="85"/>
      <c r="T131" s="64"/>
      <c r="U131" s="86"/>
      <c r="V131" s="41"/>
      <c r="W131" s="10"/>
      <c r="X131" s="10"/>
      <c r="Y131" s="10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</row>
    <row r="132" spans="1:42" ht="46.5" customHeight="1">
      <c r="A132" s="53"/>
      <c r="B132" s="178" t="s">
        <v>158</v>
      </c>
      <c r="C132" s="134"/>
      <c r="D132" s="112"/>
      <c r="E132" s="112"/>
      <c r="F132" s="112"/>
      <c r="G132" s="112"/>
      <c r="H132" s="112"/>
      <c r="I132" s="112"/>
      <c r="J132" s="112"/>
      <c r="K132" s="112"/>
      <c r="L132" s="172"/>
      <c r="M132" s="176"/>
      <c r="N132" s="176"/>
      <c r="O132" s="176"/>
      <c r="P132" s="176"/>
      <c r="Q132" s="187"/>
      <c r="R132" s="114"/>
      <c r="S132" s="85"/>
      <c r="T132" s="64"/>
      <c r="U132" s="86"/>
      <c r="V132" s="41"/>
      <c r="W132" s="10"/>
      <c r="X132" s="10"/>
      <c r="Y132" s="131" t="s">
        <v>39</v>
      </c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</row>
    <row r="133" spans="1:42" ht="40.5" customHeight="1">
      <c r="A133" s="53">
        <v>92</v>
      </c>
      <c r="B133" s="144" t="s">
        <v>84</v>
      </c>
      <c r="C133" s="134">
        <v>0.56000000000000005</v>
      </c>
      <c r="D133" s="113"/>
      <c r="E133" s="141">
        <v>5273.4160000000002</v>
      </c>
      <c r="F133" s="141">
        <v>5009.7452000000003</v>
      </c>
      <c r="G133" s="141">
        <f t="shared" ref="G133:G137" si="18">E133-F133</f>
        <v>263.67079999999987</v>
      </c>
      <c r="H133" s="112"/>
      <c r="I133" s="112"/>
      <c r="J133" s="112"/>
      <c r="K133" s="112"/>
      <c r="L133" s="172"/>
      <c r="M133" s="176"/>
      <c r="N133" s="176"/>
      <c r="O133" s="176"/>
      <c r="P133" s="176"/>
      <c r="Q133" s="187"/>
      <c r="R133" s="114"/>
      <c r="S133" s="85"/>
      <c r="T133" s="64"/>
      <c r="U133" s="86"/>
      <c r="V133" s="41"/>
      <c r="W133" s="10"/>
      <c r="X133" s="10"/>
      <c r="Y133" s="10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</row>
    <row r="134" spans="1:42" ht="41.25" customHeight="1">
      <c r="A134" s="151">
        <v>93</v>
      </c>
      <c r="B134" s="144" t="s">
        <v>155</v>
      </c>
      <c r="C134" s="134">
        <v>0.74</v>
      </c>
      <c r="D134" s="134"/>
      <c r="E134" s="141">
        <v>6208.3944000000001</v>
      </c>
      <c r="F134" s="141">
        <v>5897.9746800000003</v>
      </c>
      <c r="G134" s="141">
        <f t="shared" si="18"/>
        <v>310.41971999999987</v>
      </c>
      <c r="H134" s="112"/>
      <c r="I134" s="112"/>
      <c r="J134" s="112"/>
      <c r="K134" s="112"/>
      <c r="L134" s="172"/>
      <c r="M134" s="176"/>
      <c r="N134" s="176"/>
      <c r="O134" s="176"/>
      <c r="P134" s="176"/>
      <c r="Q134" s="187"/>
      <c r="R134" s="114"/>
      <c r="S134" s="85"/>
      <c r="T134" s="64"/>
      <c r="U134" s="86"/>
      <c r="V134" s="41"/>
      <c r="W134" s="194">
        <f>1.85-C134</f>
        <v>1.1100000000000001</v>
      </c>
      <c r="X134" s="10"/>
      <c r="Y134" s="10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</row>
    <row r="135" spans="1:42" ht="42.75" customHeight="1">
      <c r="A135" s="151">
        <v>94</v>
      </c>
      <c r="B135" s="178" t="s">
        <v>94</v>
      </c>
      <c r="C135" s="134">
        <v>0.61</v>
      </c>
      <c r="D135" s="113"/>
      <c r="E135" s="141">
        <v>7725.11</v>
      </c>
      <c r="F135" s="141">
        <v>7338.8545000000004</v>
      </c>
      <c r="G135" s="141">
        <f t="shared" si="18"/>
        <v>386.2554999999993</v>
      </c>
      <c r="H135" s="112"/>
      <c r="I135" s="112"/>
      <c r="J135" s="112"/>
      <c r="K135" s="112"/>
      <c r="L135" s="172"/>
      <c r="M135" s="176"/>
      <c r="N135" s="176"/>
      <c r="O135" s="176"/>
      <c r="P135" s="176"/>
      <c r="Q135" s="187"/>
      <c r="R135" s="114"/>
      <c r="S135" s="85"/>
      <c r="T135" s="64"/>
      <c r="U135" s="86"/>
      <c r="V135" s="41"/>
      <c r="W135" s="10"/>
      <c r="X135" s="10"/>
      <c r="Y135" s="10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</row>
    <row r="136" spans="1:42" ht="46.5" customHeight="1">
      <c r="A136" s="151">
        <v>95</v>
      </c>
      <c r="B136" s="178" t="s">
        <v>85</v>
      </c>
      <c r="C136" s="134">
        <v>0.45</v>
      </c>
      <c r="D136" s="134"/>
      <c r="E136" s="141">
        <v>672.04480000000001</v>
      </c>
      <c r="F136" s="141">
        <v>638.44255999999996</v>
      </c>
      <c r="G136" s="141">
        <f t="shared" si="18"/>
        <v>33.602240000000052</v>
      </c>
      <c r="H136" s="112"/>
      <c r="I136" s="112"/>
      <c r="J136" s="112"/>
      <c r="K136" s="112"/>
      <c r="L136" s="172"/>
      <c r="M136" s="176"/>
      <c r="N136" s="176"/>
      <c r="O136" s="176"/>
      <c r="P136" s="176"/>
      <c r="Q136" s="187"/>
      <c r="R136" s="114"/>
      <c r="S136" s="85"/>
      <c r="T136" s="64"/>
      <c r="U136" s="86"/>
      <c r="V136" s="41"/>
      <c r="W136" s="10"/>
      <c r="X136" s="10"/>
      <c r="Y136" s="10"/>
      <c r="Z136" s="4"/>
      <c r="AA136" s="132" t="s">
        <v>39</v>
      </c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</row>
    <row r="137" spans="1:42" ht="46.5" customHeight="1">
      <c r="A137" s="53">
        <v>96</v>
      </c>
      <c r="B137" s="178" t="s">
        <v>195</v>
      </c>
      <c r="C137" s="134">
        <v>0.3</v>
      </c>
      <c r="D137" s="141"/>
      <c r="E137" s="141">
        <v>5890.02225</v>
      </c>
      <c r="F137" s="141">
        <v>5595.5211399999998</v>
      </c>
      <c r="G137" s="141">
        <f t="shared" si="18"/>
        <v>294.50111000000015</v>
      </c>
      <c r="H137" s="112"/>
      <c r="I137" s="112"/>
      <c r="J137" s="112"/>
      <c r="K137" s="112"/>
      <c r="L137" s="172"/>
      <c r="M137" s="176"/>
      <c r="N137" s="176"/>
      <c r="O137" s="176"/>
      <c r="P137" s="176"/>
      <c r="Q137" s="187"/>
      <c r="R137" s="114"/>
      <c r="S137" s="85"/>
      <c r="T137" s="64"/>
      <c r="U137" s="86"/>
      <c r="V137" s="41"/>
      <c r="W137" s="10"/>
      <c r="X137" s="10"/>
      <c r="Y137" s="10"/>
      <c r="Z137" s="4"/>
      <c r="AA137" s="132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</row>
    <row r="138" spans="1:42" ht="36.75" customHeight="1">
      <c r="A138" s="53"/>
      <c r="B138" s="46" t="s">
        <v>173</v>
      </c>
      <c r="C138" s="47"/>
      <c r="D138" s="47"/>
      <c r="E138" s="47"/>
      <c r="F138" s="47"/>
      <c r="G138" s="64"/>
      <c r="H138" s="47">
        <f>SUM(H140:H145)</f>
        <v>4.7023000000000001</v>
      </c>
      <c r="I138" s="64"/>
      <c r="J138" s="47">
        <f>SUM(J140:J145)</f>
        <v>75383.899999999994</v>
      </c>
      <c r="K138" s="47">
        <f>SUM(K140:K145)</f>
        <v>71614.7</v>
      </c>
      <c r="L138" s="48">
        <f>SUM(L140:L145)</f>
        <v>3769.2000000000007</v>
      </c>
      <c r="M138" s="176"/>
      <c r="N138" s="176"/>
      <c r="O138" s="176"/>
      <c r="P138" s="176"/>
      <c r="Q138" s="187"/>
      <c r="R138" s="115">
        <f>R139</f>
        <v>1.6</v>
      </c>
      <c r="S138" s="47"/>
      <c r="T138" s="47">
        <f>T139</f>
        <v>40000</v>
      </c>
      <c r="U138" s="48">
        <f>U139</f>
        <v>38000</v>
      </c>
      <c r="V138" s="49">
        <f>V139</f>
        <v>2000</v>
      </c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</row>
    <row r="139" spans="1:42" ht="39.75" customHeight="1">
      <c r="A139" s="116"/>
      <c r="B139" s="67" t="s">
        <v>144</v>
      </c>
      <c r="C139" s="47"/>
      <c r="D139" s="47"/>
      <c r="E139" s="47"/>
      <c r="F139" s="47"/>
      <c r="G139" s="64"/>
      <c r="H139" s="64"/>
      <c r="I139" s="64"/>
      <c r="J139" s="64"/>
      <c r="K139" s="64"/>
      <c r="L139" s="86"/>
      <c r="M139" s="176"/>
      <c r="N139" s="176"/>
      <c r="O139" s="176"/>
      <c r="P139" s="176"/>
      <c r="Q139" s="187"/>
      <c r="R139" s="93">
        <v>1.6</v>
      </c>
      <c r="S139" s="94"/>
      <c r="T139" s="87">
        <v>40000</v>
      </c>
      <c r="U139" s="95">
        <f>T139*0.95</f>
        <v>38000</v>
      </c>
      <c r="V139" s="96">
        <f>T139-U139</f>
        <v>2000</v>
      </c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</row>
    <row r="140" spans="1:42" ht="40.5" customHeight="1">
      <c r="A140" s="53">
        <v>97</v>
      </c>
      <c r="B140" s="54" t="s">
        <v>56</v>
      </c>
      <c r="C140" s="47"/>
      <c r="D140" s="47"/>
      <c r="E140" s="47"/>
      <c r="F140" s="47"/>
      <c r="G140" s="64"/>
      <c r="H140" s="55">
        <v>0.84</v>
      </c>
      <c r="I140" s="57"/>
      <c r="J140" s="57">
        <v>24550.17</v>
      </c>
      <c r="K140" s="57">
        <v>23322.661499999998</v>
      </c>
      <c r="L140" s="58">
        <f>J140-K140</f>
        <v>1227.5084999999999</v>
      </c>
      <c r="M140" s="176"/>
      <c r="N140" s="176"/>
      <c r="O140" s="176"/>
      <c r="P140" s="176"/>
      <c r="Q140" s="187"/>
      <c r="R140" s="93"/>
      <c r="S140" s="94"/>
      <c r="T140" s="87"/>
      <c r="U140" s="95"/>
      <c r="V140" s="96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</row>
    <row r="141" spans="1:42" ht="24" customHeight="1">
      <c r="A141" s="53">
        <v>98</v>
      </c>
      <c r="B141" s="54" t="s">
        <v>57</v>
      </c>
      <c r="C141" s="47"/>
      <c r="D141" s="47"/>
      <c r="E141" s="47"/>
      <c r="F141" s="47"/>
      <c r="G141" s="64"/>
      <c r="H141" s="55">
        <v>0.59360000000000002</v>
      </c>
      <c r="I141" s="57"/>
      <c r="J141" s="57">
        <v>5733.29</v>
      </c>
      <c r="K141" s="57">
        <v>5446.6255000000001</v>
      </c>
      <c r="L141" s="58">
        <f>J141-K141</f>
        <v>286.66449999999986</v>
      </c>
      <c r="M141" s="176"/>
      <c r="N141" s="176"/>
      <c r="O141" s="176"/>
      <c r="P141" s="176"/>
      <c r="Q141" s="187"/>
      <c r="R141" s="93"/>
      <c r="S141" s="94"/>
      <c r="T141" s="87"/>
      <c r="U141" s="95"/>
      <c r="V141" s="96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</row>
    <row r="142" spans="1:42" ht="24" customHeight="1">
      <c r="A142" s="53">
        <v>99</v>
      </c>
      <c r="B142" s="54" t="s">
        <v>58</v>
      </c>
      <c r="C142" s="47"/>
      <c r="D142" s="47"/>
      <c r="E142" s="47"/>
      <c r="F142" s="47"/>
      <c r="G142" s="64"/>
      <c r="H142" s="55">
        <v>0.3357</v>
      </c>
      <c r="I142" s="57"/>
      <c r="J142" s="57">
        <v>6702.26</v>
      </c>
      <c r="K142" s="57">
        <v>6367.1469999999999</v>
      </c>
      <c r="L142" s="58">
        <f>J142-K142</f>
        <v>335.11300000000028</v>
      </c>
      <c r="M142" s="176"/>
      <c r="N142" s="176"/>
      <c r="O142" s="176"/>
      <c r="P142" s="176"/>
      <c r="Q142" s="187"/>
      <c r="R142" s="93"/>
      <c r="S142" s="94"/>
      <c r="T142" s="87"/>
      <c r="U142" s="95"/>
      <c r="V142" s="96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</row>
    <row r="143" spans="1:42" ht="26.25" customHeight="1">
      <c r="A143" s="53">
        <v>100</v>
      </c>
      <c r="B143" s="54" t="s">
        <v>59</v>
      </c>
      <c r="C143" s="47"/>
      <c r="D143" s="47"/>
      <c r="E143" s="47"/>
      <c r="F143" s="47"/>
      <c r="G143" s="64"/>
      <c r="H143" s="55">
        <v>1.675</v>
      </c>
      <c r="I143" s="57"/>
      <c r="J143" s="57">
        <v>8311.5400000000009</v>
      </c>
      <c r="K143" s="57">
        <v>7895.9629999999997</v>
      </c>
      <c r="L143" s="58">
        <f>J143-K143</f>
        <v>415.57700000000114</v>
      </c>
      <c r="M143" s="176"/>
      <c r="N143" s="176"/>
      <c r="O143" s="176"/>
      <c r="P143" s="176"/>
      <c r="Q143" s="187"/>
      <c r="R143" s="93"/>
      <c r="S143" s="94"/>
      <c r="T143" s="87"/>
      <c r="U143" s="95"/>
      <c r="V143" s="96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</row>
    <row r="144" spans="1:42" ht="44.25" customHeight="1">
      <c r="A144" s="53"/>
      <c r="B144" s="89" t="s">
        <v>158</v>
      </c>
      <c r="C144" s="47"/>
      <c r="D144" s="47"/>
      <c r="E144" s="47"/>
      <c r="F144" s="47"/>
      <c r="G144" s="64"/>
      <c r="H144" s="64"/>
      <c r="I144" s="64"/>
      <c r="J144" s="64"/>
      <c r="K144" s="64"/>
      <c r="L144" s="86"/>
      <c r="M144" s="176"/>
      <c r="N144" s="176"/>
      <c r="O144" s="176"/>
      <c r="P144" s="176"/>
      <c r="Q144" s="187"/>
      <c r="R144" s="93"/>
      <c r="S144" s="94"/>
      <c r="T144" s="87"/>
      <c r="U144" s="95"/>
      <c r="V144" s="96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</row>
    <row r="145" spans="1:42" ht="43.5" customHeight="1">
      <c r="A145" s="53">
        <v>101</v>
      </c>
      <c r="B145" s="54" t="s">
        <v>60</v>
      </c>
      <c r="C145" s="47"/>
      <c r="D145" s="47"/>
      <c r="E145" s="47"/>
      <c r="F145" s="47"/>
      <c r="G145" s="64"/>
      <c r="H145" s="55">
        <v>1.258</v>
      </c>
      <c r="I145" s="57"/>
      <c r="J145" s="57">
        <v>30086.639999999999</v>
      </c>
      <c r="K145" s="57">
        <v>28582.303</v>
      </c>
      <c r="L145" s="58">
        <f>J145-K145</f>
        <v>1504.3369999999995</v>
      </c>
      <c r="M145" s="176"/>
      <c r="N145" s="176"/>
      <c r="O145" s="176"/>
      <c r="P145" s="176"/>
      <c r="Q145" s="187"/>
      <c r="R145" s="93"/>
      <c r="S145" s="94"/>
      <c r="T145" s="87"/>
      <c r="U145" s="95"/>
      <c r="V145" s="96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</row>
    <row r="146" spans="1:42" ht="36" hidden="1" customHeight="1">
      <c r="A146" s="53"/>
      <c r="B146" s="46" t="s">
        <v>61</v>
      </c>
      <c r="C146" s="108"/>
      <c r="D146" s="109"/>
      <c r="E146" s="109"/>
      <c r="F146" s="109"/>
      <c r="G146" s="109"/>
      <c r="H146" s="109"/>
      <c r="I146" s="109"/>
      <c r="J146" s="109"/>
      <c r="K146" s="109"/>
      <c r="L146" s="171"/>
      <c r="M146" s="176"/>
      <c r="N146" s="176"/>
      <c r="O146" s="176"/>
      <c r="P146" s="176"/>
      <c r="Q146" s="187"/>
      <c r="R146" s="50">
        <f>R147</f>
        <v>1.6</v>
      </c>
      <c r="S146" s="47" t="e">
        <f>#REF!</f>
        <v>#REF!</v>
      </c>
      <c r="T146" s="47" t="e">
        <f>T147+#REF!</f>
        <v>#REF!</v>
      </c>
      <c r="U146" s="47" t="e">
        <f>U147+#REF!</f>
        <v>#REF!</v>
      </c>
      <c r="V146" s="49" t="e">
        <f>V147+#REF!</f>
        <v>#REF!</v>
      </c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</row>
    <row r="147" spans="1:42" ht="24.75" hidden="1" customHeight="1">
      <c r="A147" s="53"/>
      <c r="B147" s="54" t="s">
        <v>62</v>
      </c>
      <c r="C147" s="81"/>
      <c r="D147" s="81"/>
      <c r="E147" s="81"/>
      <c r="F147" s="81"/>
      <c r="G147" s="81"/>
      <c r="H147" s="81"/>
      <c r="I147" s="81"/>
      <c r="J147" s="81"/>
      <c r="K147" s="81"/>
      <c r="L147" s="82"/>
      <c r="M147" s="176"/>
      <c r="N147" s="176"/>
      <c r="O147" s="176"/>
      <c r="P147" s="176"/>
      <c r="Q147" s="187"/>
      <c r="R147" s="93">
        <v>1.6</v>
      </c>
      <c r="S147" s="66"/>
      <c r="T147" s="57">
        <v>40000</v>
      </c>
      <c r="U147" s="117">
        <f>T147*0.94</f>
        <v>37600</v>
      </c>
      <c r="V147" s="61">
        <f>T147-U147</f>
        <v>2400</v>
      </c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</row>
    <row r="148" spans="1:42" ht="42" hidden="1" customHeight="1">
      <c r="A148" s="53"/>
      <c r="B148" s="54" t="s">
        <v>63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2"/>
      <c r="M148" s="176"/>
      <c r="N148" s="176"/>
      <c r="O148" s="176"/>
      <c r="P148" s="176"/>
      <c r="Q148" s="187"/>
      <c r="R148" s="93"/>
      <c r="S148" s="66"/>
      <c r="T148" s="57"/>
      <c r="U148" s="117"/>
      <c r="V148" s="61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</row>
    <row r="149" spans="1:42" ht="31.5" customHeight="1">
      <c r="A149" s="53"/>
      <c r="B149" s="46" t="s">
        <v>174</v>
      </c>
      <c r="C149" s="108">
        <f>SUM(C151:C152)</f>
        <v>0.34199999999999997</v>
      </c>
      <c r="D149" s="109"/>
      <c r="E149" s="109">
        <f>SUM(E151:E152)</f>
        <v>1160.0999999999999</v>
      </c>
      <c r="F149" s="109">
        <f t="shared" ref="F149:G149" si="19">SUM(F151:F152)</f>
        <v>1102.0999999999999</v>
      </c>
      <c r="G149" s="109">
        <f t="shared" si="19"/>
        <v>58</v>
      </c>
      <c r="H149" s="109">
        <f>H150</f>
        <v>5.351</v>
      </c>
      <c r="I149" s="109"/>
      <c r="J149" s="109">
        <f>J150</f>
        <v>111451.7</v>
      </c>
      <c r="K149" s="109">
        <f>K150</f>
        <v>105879.2</v>
      </c>
      <c r="L149" s="171">
        <f>L150</f>
        <v>5572.5</v>
      </c>
      <c r="M149" s="176"/>
      <c r="N149" s="176"/>
      <c r="O149" s="176"/>
      <c r="P149" s="176"/>
      <c r="Q149" s="187"/>
      <c r="R149" s="50" t="e">
        <f>#REF!</f>
        <v>#REF!</v>
      </c>
      <c r="S149" s="47"/>
      <c r="T149" s="47" t="e">
        <f>#REF!</f>
        <v>#REF!</v>
      </c>
      <c r="U149" s="47" t="e">
        <f>#REF!</f>
        <v>#REF!</v>
      </c>
      <c r="V149" s="49" t="e">
        <f>#REF!</f>
        <v>#REF!</v>
      </c>
      <c r="W149" s="118" t="e">
        <f>J149+#REF!</f>
        <v>#REF!</v>
      </c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</row>
    <row r="150" spans="1:42" ht="43.5" customHeight="1">
      <c r="A150" s="53">
        <v>102</v>
      </c>
      <c r="B150" s="67" t="s">
        <v>144</v>
      </c>
      <c r="C150" s="108"/>
      <c r="D150" s="109"/>
      <c r="E150" s="109"/>
      <c r="F150" s="109"/>
      <c r="G150" s="109"/>
      <c r="H150" s="112">
        <v>5.351</v>
      </c>
      <c r="I150" s="112"/>
      <c r="J150" s="112">
        <v>111451.7</v>
      </c>
      <c r="K150" s="112">
        <v>105879.2</v>
      </c>
      <c r="L150" s="172">
        <f>J150-K150</f>
        <v>5572.5</v>
      </c>
      <c r="M150" s="176"/>
      <c r="N150" s="176"/>
      <c r="O150" s="176"/>
      <c r="P150" s="176"/>
      <c r="Q150" s="187"/>
      <c r="R150" s="50"/>
      <c r="S150" s="50"/>
      <c r="T150" s="47"/>
      <c r="U150" s="48"/>
      <c r="V150" s="49"/>
      <c r="W150" s="118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</row>
    <row r="151" spans="1:42" ht="27.75" customHeight="1">
      <c r="A151" s="53">
        <v>103</v>
      </c>
      <c r="B151" s="54" t="s">
        <v>86</v>
      </c>
      <c r="C151" s="134">
        <v>0.24</v>
      </c>
      <c r="D151" s="119"/>
      <c r="E151" s="112">
        <f>1160.1-285.78462</f>
        <v>874.31537999999989</v>
      </c>
      <c r="F151" s="112">
        <f>1102.1-271.496</f>
        <v>830.60399999999993</v>
      </c>
      <c r="G151" s="112">
        <f>E151-F151</f>
        <v>43.711379999999963</v>
      </c>
      <c r="H151" s="119"/>
      <c r="I151" s="119"/>
      <c r="J151" s="119"/>
      <c r="K151" s="119"/>
      <c r="L151" s="173"/>
      <c r="M151" s="176"/>
      <c r="N151" s="176"/>
      <c r="O151" s="176"/>
      <c r="P151" s="176"/>
      <c r="Q151" s="187"/>
      <c r="R151" s="93"/>
      <c r="S151" s="85"/>
      <c r="T151" s="57"/>
      <c r="U151" s="117"/>
      <c r="V151" s="61"/>
      <c r="W151" s="118">
        <v>1160.0999999999999</v>
      </c>
      <c r="X151" s="4">
        <v>1102.0999999999999</v>
      </c>
      <c r="Y151" s="4">
        <v>58</v>
      </c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</row>
    <row r="152" spans="1:42" ht="29.25" customHeight="1">
      <c r="A152" s="53">
        <v>104</v>
      </c>
      <c r="B152" s="54" t="s">
        <v>152</v>
      </c>
      <c r="C152" s="134">
        <v>0.10199999999999999</v>
      </c>
      <c r="D152" s="119"/>
      <c r="E152" s="112">
        <f>285.78462</f>
        <v>285.78462000000002</v>
      </c>
      <c r="F152" s="112">
        <f>271.496</f>
        <v>271.49599999999998</v>
      </c>
      <c r="G152" s="112">
        <f>E152-F152</f>
        <v>14.288620000000037</v>
      </c>
      <c r="H152" s="119"/>
      <c r="I152" s="119"/>
      <c r="J152" s="119"/>
      <c r="K152" s="119"/>
      <c r="L152" s="173"/>
      <c r="M152" s="176"/>
      <c r="N152" s="176"/>
      <c r="O152" s="176"/>
      <c r="P152" s="176"/>
      <c r="Q152" s="187"/>
      <c r="R152" s="93"/>
      <c r="S152" s="85"/>
      <c r="T152" s="57"/>
      <c r="U152" s="117"/>
      <c r="V152" s="61"/>
      <c r="W152" s="118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</row>
    <row r="153" spans="1:42" ht="29.25" customHeight="1">
      <c r="A153" s="53">
        <v>105</v>
      </c>
      <c r="B153" s="54" t="s">
        <v>177</v>
      </c>
      <c r="C153" s="134"/>
      <c r="D153" s="119"/>
      <c r="E153" s="112"/>
      <c r="F153" s="112"/>
      <c r="G153" s="112"/>
      <c r="H153" s="181">
        <v>1.3149999999999999</v>
      </c>
      <c r="I153" s="119"/>
      <c r="J153" s="112">
        <v>29862.9</v>
      </c>
      <c r="K153" s="112">
        <f>J153*0.95+0.045</f>
        <v>28369.8</v>
      </c>
      <c r="L153" s="172">
        <f>J153-K153</f>
        <v>1493.1000000000022</v>
      </c>
      <c r="M153" s="176"/>
      <c r="N153" s="176"/>
      <c r="O153" s="176"/>
      <c r="P153" s="176"/>
      <c r="Q153" s="187"/>
      <c r="R153" s="93"/>
      <c r="S153" s="85"/>
      <c r="T153" s="57"/>
      <c r="U153" s="117"/>
      <c r="V153" s="61"/>
      <c r="W153" s="118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</row>
    <row r="154" spans="1:42" ht="26.25" customHeight="1">
      <c r="A154" s="53"/>
      <c r="B154" s="46" t="s">
        <v>175</v>
      </c>
      <c r="C154" s="47">
        <f>C156</f>
        <v>1.75</v>
      </c>
      <c r="D154" s="47"/>
      <c r="E154" s="47">
        <f>E156</f>
        <v>31927.9</v>
      </c>
      <c r="F154" s="47">
        <f>F156</f>
        <v>30012.199999999997</v>
      </c>
      <c r="G154" s="47">
        <f>G156</f>
        <v>1915.7000000000044</v>
      </c>
      <c r="H154" s="47">
        <f>SUM(H156:H163)</f>
        <v>5.08</v>
      </c>
      <c r="I154" s="64"/>
      <c r="J154" s="47">
        <f>SUM(J156:J163)</f>
        <v>111360.59999999999</v>
      </c>
      <c r="K154" s="47">
        <f>SUM(K156:K163)</f>
        <v>104679</v>
      </c>
      <c r="L154" s="48">
        <f>SUM(L156:L163)</f>
        <v>6681.5999999999985</v>
      </c>
      <c r="M154" s="176"/>
      <c r="N154" s="176"/>
      <c r="O154" s="176"/>
      <c r="P154" s="176"/>
      <c r="Q154" s="187"/>
      <c r="R154" s="50" t="e">
        <f>#REF!</f>
        <v>#REF!</v>
      </c>
      <c r="S154" s="47"/>
      <c r="T154" s="47" t="e">
        <f>#REF!</f>
        <v>#REF!</v>
      </c>
      <c r="U154" s="47" t="e">
        <f>#REF!</f>
        <v>#REF!</v>
      </c>
      <c r="V154" s="49" t="e">
        <f>#REF!</f>
        <v>#REF!</v>
      </c>
      <c r="W154" s="47">
        <v>111360.59999999999</v>
      </c>
      <c r="X154" s="47">
        <v>104678.99999999999</v>
      </c>
      <c r="Y154" s="48">
        <v>6681.6000000000067</v>
      </c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</row>
    <row r="155" spans="1:42" ht="46.5" customHeight="1">
      <c r="A155" s="53"/>
      <c r="B155" s="67" t="s">
        <v>144</v>
      </c>
      <c r="C155" s="47"/>
      <c r="D155" s="47"/>
      <c r="E155" s="47"/>
      <c r="F155" s="47"/>
      <c r="G155" s="64"/>
      <c r="H155" s="64"/>
      <c r="I155" s="64"/>
      <c r="J155" s="47"/>
      <c r="K155" s="47"/>
      <c r="L155" s="48"/>
      <c r="M155" s="176"/>
      <c r="N155" s="176"/>
      <c r="O155" s="176"/>
      <c r="P155" s="176"/>
      <c r="Q155" s="187"/>
      <c r="R155" s="50"/>
      <c r="S155" s="50"/>
      <c r="T155" s="47"/>
      <c r="U155" s="48"/>
      <c r="V155" s="49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</row>
    <row r="156" spans="1:42" ht="24.75" customHeight="1">
      <c r="A156" s="53">
        <v>106</v>
      </c>
      <c r="B156" s="144" t="s">
        <v>64</v>
      </c>
      <c r="C156" s="133">
        <v>1.75</v>
      </c>
      <c r="D156" s="133"/>
      <c r="E156" s="129">
        <v>31927.9</v>
      </c>
      <c r="F156" s="129">
        <f>E156*0.94-0.026</f>
        <v>30012.199999999997</v>
      </c>
      <c r="G156" s="143">
        <f t="shared" ref="G156" si="20">E156-F156</f>
        <v>1915.7000000000044</v>
      </c>
      <c r="H156" s="133"/>
      <c r="I156" s="133"/>
      <c r="J156" s="129"/>
      <c r="K156" s="129"/>
      <c r="L156" s="143"/>
      <c r="M156" s="176"/>
      <c r="N156" s="176"/>
      <c r="O156" s="176"/>
      <c r="P156" s="176"/>
      <c r="Q156" s="187"/>
      <c r="R156" s="93"/>
      <c r="S156" s="62"/>
      <c r="T156" s="57"/>
      <c r="U156" s="58"/>
      <c r="V156" s="61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</row>
    <row r="157" spans="1:42" ht="27" customHeight="1">
      <c r="A157" s="53">
        <v>107</v>
      </c>
      <c r="B157" s="144" t="s">
        <v>65</v>
      </c>
      <c r="C157" s="142"/>
      <c r="D157" s="142"/>
      <c r="E157" s="142"/>
      <c r="F157" s="142"/>
      <c r="G157" s="203"/>
      <c r="H157" s="133">
        <v>0.8</v>
      </c>
      <c r="I157" s="203"/>
      <c r="J157" s="129">
        <v>19568.983469999999</v>
      </c>
      <c r="K157" s="129">
        <v>18394.900000000001</v>
      </c>
      <c r="L157" s="143">
        <f t="shared" ref="L157:L163" si="21">J157-K157</f>
        <v>1174.0834699999978</v>
      </c>
      <c r="M157" s="176"/>
      <c r="N157" s="176"/>
      <c r="O157" s="176"/>
      <c r="P157" s="176"/>
      <c r="Q157" s="187"/>
      <c r="R157" s="93"/>
      <c r="S157" s="62"/>
      <c r="T157" s="57"/>
      <c r="U157" s="58"/>
      <c r="V157" s="61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</row>
    <row r="158" spans="1:42" ht="29.25" customHeight="1">
      <c r="A158" s="53">
        <v>108</v>
      </c>
      <c r="B158" s="144" t="s">
        <v>66</v>
      </c>
      <c r="C158" s="142"/>
      <c r="D158" s="142"/>
      <c r="E158" s="142"/>
      <c r="F158" s="142"/>
      <c r="G158" s="203"/>
      <c r="H158" s="133">
        <v>0.6</v>
      </c>
      <c r="I158" s="203"/>
      <c r="J158" s="129">
        <v>23044.909</v>
      </c>
      <c r="K158" s="129">
        <v>21662.2</v>
      </c>
      <c r="L158" s="143">
        <f t="shared" si="21"/>
        <v>1382.7089999999989</v>
      </c>
      <c r="M158" s="176"/>
      <c r="N158" s="176"/>
      <c r="O158" s="176"/>
      <c r="P158" s="176"/>
      <c r="Q158" s="187"/>
      <c r="R158" s="93"/>
      <c r="S158" s="62"/>
      <c r="T158" s="57"/>
      <c r="U158" s="58"/>
      <c r="V158" s="61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</row>
    <row r="159" spans="1:42" ht="23.25" customHeight="1">
      <c r="A159" s="53">
        <v>109</v>
      </c>
      <c r="B159" s="144" t="s">
        <v>183</v>
      </c>
      <c r="C159" s="142"/>
      <c r="D159" s="142"/>
      <c r="E159" s="142"/>
      <c r="F159" s="142"/>
      <c r="G159" s="203"/>
      <c r="H159" s="133">
        <v>0.2</v>
      </c>
      <c r="I159" s="203"/>
      <c r="J159" s="129">
        <f>5982.671-0.05822+0.025</f>
        <v>5982.63778</v>
      </c>
      <c r="K159" s="129">
        <v>5623.7</v>
      </c>
      <c r="L159" s="143">
        <f t="shared" si="21"/>
        <v>358.9377800000002</v>
      </c>
      <c r="M159" s="176"/>
      <c r="N159" s="176"/>
      <c r="O159" s="176"/>
      <c r="P159" s="176"/>
      <c r="Q159" s="187"/>
      <c r="R159" s="93"/>
      <c r="S159" s="62"/>
      <c r="T159" s="57"/>
      <c r="U159" s="58"/>
      <c r="V159" s="61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</row>
    <row r="160" spans="1:42" ht="45" customHeight="1">
      <c r="A160" s="53">
        <v>110</v>
      </c>
      <c r="B160" s="144" t="s">
        <v>67</v>
      </c>
      <c r="C160" s="142"/>
      <c r="D160" s="142"/>
      <c r="E160" s="142"/>
      <c r="F160" s="142"/>
      <c r="G160" s="203"/>
      <c r="H160" s="133">
        <v>1</v>
      </c>
      <c r="I160" s="203"/>
      <c r="J160" s="129">
        <v>30770.018</v>
      </c>
      <c r="K160" s="129">
        <v>28923.8</v>
      </c>
      <c r="L160" s="143">
        <f t="shared" si="21"/>
        <v>1846.2180000000008</v>
      </c>
      <c r="M160" s="176"/>
      <c r="N160" s="176"/>
      <c r="O160" s="176"/>
      <c r="P160" s="176"/>
      <c r="Q160" s="187"/>
      <c r="R160" s="93"/>
      <c r="S160" s="62"/>
      <c r="T160" s="57"/>
      <c r="U160" s="58"/>
      <c r="V160" s="61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</row>
    <row r="161" spans="1:42" ht="29.25" customHeight="1">
      <c r="A161" s="53">
        <v>111</v>
      </c>
      <c r="B161" s="144" t="s">
        <v>68</v>
      </c>
      <c r="C161" s="142"/>
      <c r="D161" s="142"/>
      <c r="E161" s="142"/>
      <c r="F161" s="142"/>
      <c r="G161" s="203"/>
      <c r="H161" s="133">
        <v>0.32</v>
      </c>
      <c r="I161" s="203"/>
      <c r="J161" s="129">
        <v>9320.4279700000006</v>
      </c>
      <c r="K161" s="129">
        <v>8761.2000000000007</v>
      </c>
      <c r="L161" s="143">
        <f t="shared" si="21"/>
        <v>559.22796999999991</v>
      </c>
      <c r="M161" s="176"/>
      <c r="N161" s="176"/>
      <c r="O161" s="176"/>
      <c r="P161" s="176"/>
      <c r="Q161" s="187"/>
      <c r="R161" s="93"/>
      <c r="S161" s="62"/>
      <c r="T161" s="57"/>
      <c r="U161" s="58"/>
      <c r="V161" s="61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</row>
    <row r="162" spans="1:42" ht="21" customHeight="1">
      <c r="A162" s="53">
        <v>112</v>
      </c>
      <c r="B162" s="144" t="s">
        <v>69</v>
      </c>
      <c r="C162" s="142"/>
      <c r="D162" s="142"/>
      <c r="E162" s="142"/>
      <c r="F162" s="142"/>
      <c r="G162" s="203"/>
      <c r="H162" s="133">
        <v>1.01</v>
      </c>
      <c r="I162" s="203"/>
      <c r="J162" s="129">
        <v>10732.7808</v>
      </c>
      <c r="K162" s="129">
        <v>10088.799999999999</v>
      </c>
      <c r="L162" s="143">
        <f t="shared" si="21"/>
        <v>643.98080000000118</v>
      </c>
      <c r="M162" s="176"/>
      <c r="N162" s="176"/>
      <c r="O162" s="176"/>
      <c r="P162" s="176"/>
      <c r="Q162" s="187"/>
      <c r="R162" s="93"/>
      <c r="S162" s="62"/>
      <c r="T162" s="57"/>
      <c r="U162" s="58"/>
      <c r="V162" s="61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</row>
    <row r="163" spans="1:42" ht="28.5" customHeight="1">
      <c r="A163" s="220">
        <v>113</v>
      </c>
      <c r="B163" s="144" t="s">
        <v>70</v>
      </c>
      <c r="C163" s="142"/>
      <c r="D163" s="142"/>
      <c r="E163" s="142"/>
      <c r="F163" s="142"/>
      <c r="G163" s="203"/>
      <c r="H163" s="133">
        <v>1.1499999999999999</v>
      </c>
      <c r="I163" s="203"/>
      <c r="J163" s="129">
        <f>11940.84298</f>
        <v>11940.842979999999</v>
      </c>
      <c r="K163" s="129">
        <v>11224.4</v>
      </c>
      <c r="L163" s="143">
        <f t="shared" si="21"/>
        <v>716.44297999999981</v>
      </c>
      <c r="M163" s="176"/>
      <c r="N163" s="176"/>
      <c r="O163" s="176"/>
      <c r="P163" s="176"/>
      <c r="Q163" s="187"/>
      <c r="R163" s="93"/>
      <c r="S163" s="62"/>
      <c r="T163" s="57"/>
      <c r="U163" s="58"/>
      <c r="V163" s="61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</row>
    <row r="164" spans="1:42" ht="30" hidden="1" customHeight="1">
      <c r="A164" s="53"/>
      <c r="B164" s="54"/>
      <c r="C164" s="47"/>
      <c r="D164" s="47"/>
      <c r="E164" s="47"/>
      <c r="F164" s="47"/>
      <c r="G164" s="64"/>
      <c r="H164" s="64"/>
      <c r="I164" s="64"/>
      <c r="J164" s="64"/>
      <c r="K164" s="64"/>
      <c r="L164" s="86"/>
      <c r="M164" s="176"/>
      <c r="N164" s="176"/>
      <c r="O164" s="176"/>
      <c r="P164" s="176"/>
      <c r="Q164" s="187"/>
      <c r="R164" s="93"/>
      <c r="S164" s="62"/>
      <c r="T164" s="57"/>
      <c r="U164" s="58"/>
      <c r="V164" s="61"/>
      <c r="W164" s="4"/>
      <c r="X164" s="4"/>
      <c r="Y164" s="4"/>
      <c r="Z164" s="4"/>
      <c r="AA164" s="4"/>
      <c r="AB164" s="4" t="s">
        <v>12</v>
      </c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</row>
    <row r="165" spans="1:42" ht="27" hidden="1" customHeight="1">
      <c r="A165" s="53"/>
      <c r="B165" s="46" t="s">
        <v>71</v>
      </c>
      <c r="C165" s="108"/>
      <c r="D165" s="44"/>
      <c r="E165" s="44"/>
      <c r="F165" s="44"/>
      <c r="G165" s="44"/>
      <c r="H165" s="44"/>
      <c r="I165" s="44"/>
      <c r="J165" s="44"/>
      <c r="K165" s="44"/>
      <c r="L165" s="45"/>
      <c r="M165" s="176"/>
      <c r="N165" s="176"/>
      <c r="O165" s="176"/>
      <c r="P165" s="176"/>
      <c r="Q165" s="187"/>
      <c r="R165" s="66"/>
      <c r="S165" s="66"/>
      <c r="T165" s="81"/>
      <c r="U165" s="82"/>
      <c r="V165" s="41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</row>
    <row r="166" spans="1:42" ht="27" hidden="1" customHeight="1">
      <c r="A166" s="53"/>
      <c r="B166" s="46"/>
      <c r="C166" s="108"/>
      <c r="D166" s="44"/>
      <c r="E166" s="44"/>
      <c r="F166" s="44"/>
      <c r="G166" s="44"/>
      <c r="H166" s="44"/>
      <c r="I166" s="44"/>
      <c r="J166" s="44"/>
      <c r="K166" s="44"/>
      <c r="L166" s="45"/>
      <c r="M166" s="176"/>
      <c r="N166" s="176"/>
      <c r="O166" s="176"/>
      <c r="P166" s="176"/>
      <c r="Q166" s="187"/>
      <c r="R166" s="66"/>
      <c r="S166" s="66"/>
      <c r="T166" s="81"/>
      <c r="U166" s="82"/>
      <c r="V166" s="41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</row>
    <row r="167" spans="1:42" ht="27.75" customHeight="1">
      <c r="A167" s="53"/>
      <c r="B167" s="46" t="s">
        <v>72</v>
      </c>
      <c r="C167" s="47">
        <f>C169+C171</f>
        <v>13.208</v>
      </c>
      <c r="D167" s="47"/>
      <c r="E167" s="47">
        <f>E169+E171</f>
        <v>195621.19999999998</v>
      </c>
      <c r="F167" s="47">
        <f>F169+F171</f>
        <v>181927.7</v>
      </c>
      <c r="G167" s="47">
        <f>G169+G171</f>
        <v>13693.499999999985</v>
      </c>
      <c r="H167" s="47"/>
      <c r="I167" s="47"/>
      <c r="J167" s="47"/>
      <c r="K167" s="47"/>
      <c r="L167" s="48"/>
      <c r="M167" s="176"/>
      <c r="N167" s="176"/>
      <c r="O167" s="176"/>
      <c r="P167" s="176"/>
      <c r="Q167" s="187"/>
      <c r="R167" s="50" t="e">
        <f>#REF!+#REF!</f>
        <v>#REF!</v>
      </c>
      <c r="S167" s="47"/>
      <c r="T167" s="47" t="e">
        <f>#REF!+#REF!</f>
        <v>#REF!</v>
      </c>
      <c r="U167" s="47" t="e">
        <f>#REF!+#REF!</f>
        <v>#REF!</v>
      </c>
      <c r="V167" s="49" t="e">
        <f>#REF!+#REF!</f>
        <v>#REF!</v>
      </c>
      <c r="W167" s="4"/>
      <c r="X167" s="4" t="s">
        <v>73</v>
      </c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</row>
    <row r="168" spans="1:42" ht="43.5" customHeight="1">
      <c r="A168" s="30"/>
      <c r="B168" s="67" t="s">
        <v>194</v>
      </c>
      <c r="C168" s="47"/>
      <c r="D168" s="47"/>
      <c r="E168" s="47"/>
      <c r="F168" s="47"/>
      <c r="G168" s="47"/>
      <c r="H168" s="47"/>
      <c r="I168" s="47"/>
      <c r="J168" s="47"/>
      <c r="K168" s="47"/>
      <c r="L168" s="48"/>
      <c r="M168" s="176"/>
      <c r="N168" s="176"/>
      <c r="O168" s="176"/>
      <c r="P168" s="176"/>
      <c r="Q168" s="187"/>
      <c r="R168" s="50"/>
      <c r="S168" s="50"/>
      <c r="T168" s="47"/>
      <c r="U168" s="48"/>
      <c r="V168" s="49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</row>
    <row r="169" spans="1:42" ht="41.25" customHeight="1">
      <c r="A169" s="30">
        <v>114</v>
      </c>
      <c r="B169" s="54" t="s">
        <v>95</v>
      </c>
      <c r="C169" s="55">
        <f>0.816+0.192+0.1</f>
        <v>1.1080000000000001</v>
      </c>
      <c r="D169" s="47"/>
      <c r="E169" s="57">
        <v>22096.9</v>
      </c>
      <c r="F169" s="57">
        <v>20550.099999999999</v>
      </c>
      <c r="G169" s="57">
        <f>E169-F169</f>
        <v>1546.8000000000029</v>
      </c>
      <c r="H169" s="81"/>
      <c r="I169" s="81"/>
      <c r="J169" s="81"/>
      <c r="K169" s="81"/>
      <c r="L169" s="82"/>
      <c r="M169" s="176"/>
      <c r="N169" s="176"/>
      <c r="O169" s="176"/>
      <c r="P169" s="176"/>
      <c r="Q169" s="187"/>
      <c r="R169" s="66"/>
      <c r="S169" s="66"/>
      <c r="T169" s="81"/>
      <c r="U169" s="82"/>
      <c r="V169" s="41"/>
      <c r="W169" s="120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</row>
    <row r="170" spans="1:42" ht="39" customHeight="1">
      <c r="A170" s="30"/>
      <c r="B170" s="89" t="s">
        <v>74</v>
      </c>
      <c r="C170" s="55"/>
      <c r="D170" s="47"/>
      <c r="E170" s="57"/>
      <c r="F170" s="57"/>
      <c r="G170" s="57"/>
      <c r="H170" s="81"/>
      <c r="I170" s="81"/>
      <c r="J170" s="81"/>
      <c r="K170" s="81"/>
      <c r="L170" s="82"/>
      <c r="M170" s="176"/>
      <c r="N170" s="176"/>
      <c r="O170" s="176"/>
      <c r="P170" s="176"/>
      <c r="Q170" s="187"/>
      <c r="R170" s="66"/>
      <c r="S170" s="66"/>
      <c r="T170" s="81"/>
      <c r="U170" s="82"/>
      <c r="V170" s="41"/>
      <c r="W170" s="120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</row>
    <row r="171" spans="1:42" ht="61.5" customHeight="1">
      <c r="A171" s="30">
        <v>115</v>
      </c>
      <c r="B171" s="121" t="s">
        <v>96</v>
      </c>
      <c r="C171" s="55">
        <v>12.1</v>
      </c>
      <c r="D171" s="47"/>
      <c r="E171" s="57">
        <f>161290.3+12234</f>
        <v>173524.3</v>
      </c>
      <c r="F171" s="57">
        <f>150000+11377.6</f>
        <v>161377.60000000001</v>
      </c>
      <c r="G171" s="57">
        <f>E171-F171</f>
        <v>12146.699999999983</v>
      </c>
      <c r="H171" s="81"/>
      <c r="I171" s="81"/>
      <c r="J171" s="81"/>
      <c r="K171" s="81"/>
      <c r="L171" s="82"/>
      <c r="M171" s="176"/>
      <c r="N171" s="176"/>
      <c r="O171" s="176"/>
      <c r="P171" s="176"/>
      <c r="Q171" s="187"/>
      <c r="R171" s="66"/>
      <c r="S171" s="66"/>
      <c r="T171" s="81"/>
      <c r="U171" s="82"/>
      <c r="V171" s="41"/>
      <c r="W171" s="120">
        <f>F171/E171*100</f>
        <v>93.000000576288173</v>
      </c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</row>
    <row r="172" spans="1:42" ht="34.5" customHeight="1">
      <c r="A172" s="53"/>
      <c r="B172" s="46" t="s">
        <v>176</v>
      </c>
      <c r="C172" s="55"/>
      <c r="D172" s="47"/>
      <c r="E172" s="57"/>
      <c r="F172" s="57"/>
      <c r="G172" s="57"/>
      <c r="H172" s="47">
        <v>11.436999999999999</v>
      </c>
      <c r="I172" s="81"/>
      <c r="J172" s="47">
        <f>J173</f>
        <v>125922.59999999998</v>
      </c>
      <c r="K172" s="47">
        <f>K173</f>
        <v>119626.5</v>
      </c>
      <c r="L172" s="48">
        <f>L173</f>
        <v>6296.1</v>
      </c>
      <c r="M172" s="176"/>
      <c r="N172" s="176"/>
      <c r="O172" s="176"/>
      <c r="P172" s="176"/>
      <c r="Q172" s="187"/>
      <c r="R172" s="66"/>
      <c r="S172" s="66"/>
      <c r="T172" s="81"/>
      <c r="U172" s="82"/>
      <c r="V172" s="41"/>
      <c r="W172" s="120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</row>
    <row r="173" spans="1:42" ht="42.75" customHeight="1">
      <c r="A173" s="30">
        <v>116</v>
      </c>
      <c r="B173" s="54" t="s">
        <v>146</v>
      </c>
      <c r="C173" s="55"/>
      <c r="D173" s="47"/>
      <c r="E173" s="57"/>
      <c r="F173" s="57"/>
      <c r="G173" s="57"/>
      <c r="H173" s="55">
        <v>11.436999999999999</v>
      </c>
      <c r="I173" s="204"/>
      <c r="J173" s="57">
        <v>125922.59999999998</v>
      </c>
      <c r="K173" s="57">
        <v>119626.5</v>
      </c>
      <c r="L173" s="58">
        <v>6296.1</v>
      </c>
      <c r="M173" s="176"/>
      <c r="N173" s="176"/>
      <c r="O173" s="176"/>
      <c r="P173" s="176"/>
      <c r="Q173" s="187"/>
      <c r="R173" s="66"/>
      <c r="S173" s="66"/>
      <c r="T173" s="81"/>
      <c r="U173" s="82"/>
      <c r="V173" s="41"/>
      <c r="W173" s="120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</row>
    <row r="174" spans="1:42" ht="30" hidden="1" customHeight="1">
      <c r="A174" s="30">
        <v>179</v>
      </c>
      <c r="B174" s="67" t="s">
        <v>143</v>
      </c>
      <c r="C174" s="55"/>
      <c r="D174" s="47"/>
      <c r="E174" s="57"/>
      <c r="F174" s="57"/>
      <c r="G174" s="57"/>
      <c r="H174" s="55">
        <v>0.9</v>
      </c>
      <c r="I174" s="56"/>
      <c r="J174" s="57">
        <v>18078.8</v>
      </c>
      <c r="K174" s="57">
        <f>J174*0.95</f>
        <v>17174.859999999997</v>
      </c>
      <c r="L174" s="58">
        <f>J174-K174</f>
        <v>903.94000000000233</v>
      </c>
      <c r="M174" s="176"/>
      <c r="N174" s="176"/>
      <c r="O174" s="176"/>
      <c r="P174" s="176"/>
      <c r="Q174" s="187"/>
      <c r="R174" s="66"/>
      <c r="S174" s="66"/>
      <c r="T174" s="81"/>
      <c r="U174" s="82"/>
      <c r="V174" s="41"/>
      <c r="W174" s="120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</row>
    <row r="175" spans="1:42" ht="42" hidden="1" customHeight="1">
      <c r="A175" s="30">
        <v>180</v>
      </c>
      <c r="B175" s="89" t="s">
        <v>140</v>
      </c>
      <c r="C175" s="55"/>
      <c r="D175" s="47"/>
      <c r="E175" s="57"/>
      <c r="F175" s="57"/>
      <c r="G175" s="57"/>
      <c r="H175" s="55">
        <v>1.8</v>
      </c>
      <c r="I175" s="81"/>
      <c r="J175" s="57">
        <v>31835.18</v>
      </c>
      <c r="K175" s="57">
        <f>J175*0.95</f>
        <v>30243.420999999998</v>
      </c>
      <c r="L175" s="58">
        <f>J175-K175</f>
        <v>1591.7590000000018</v>
      </c>
      <c r="M175" s="176"/>
      <c r="N175" s="176"/>
      <c r="O175" s="176"/>
      <c r="P175" s="176"/>
      <c r="Q175" s="187"/>
      <c r="R175" s="66"/>
      <c r="S175" s="66"/>
      <c r="T175" s="81"/>
      <c r="U175" s="82"/>
      <c r="V175" s="41"/>
      <c r="W175" s="120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</row>
    <row r="176" spans="1:42" ht="27.95" hidden="1" customHeight="1">
      <c r="A176" s="30">
        <v>181</v>
      </c>
      <c r="B176" s="54" t="s">
        <v>75</v>
      </c>
      <c r="C176" s="55"/>
      <c r="D176" s="47"/>
      <c r="E176" s="57"/>
      <c r="F176" s="57"/>
      <c r="G176" s="57"/>
      <c r="H176" s="55">
        <v>0.6</v>
      </c>
      <c r="I176" s="81"/>
      <c r="J176" s="57">
        <v>11667.32</v>
      </c>
      <c r="K176" s="57">
        <f>J176*0.95</f>
        <v>11083.954</v>
      </c>
      <c r="L176" s="58">
        <f>J176-K176</f>
        <v>583.36599999999999</v>
      </c>
      <c r="M176" s="176"/>
      <c r="N176" s="176"/>
      <c r="O176" s="176"/>
      <c r="P176" s="176"/>
      <c r="Q176" s="187"/>
      <c r="R176" s="66"/>
      <c r="S176" s="66"/>
      <c r="T176" s="81"/>
      <c r="U176" s="82"/>
      <c r="V176" s="41"/>
      <c r="W176" s="120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</row>
    <row r="177" spans="1:42" ht="27.95" hidden="1" customHeight="1">
      <c r="A177" s="30">
        <v>182</v>
      </c>
      <c r="B177" s="67" t="s">
        <v>153</v>
      </c>
      <c r="C177" s="55"/>
      <c r="D177" s="47"/>
      <c r="E177" s="57"/>
      <c r="F177" s="57"/>
      <c r="G177" s="57"/>
      <c r="H177" s="55">
        <v>1.6</v>
      </c>
      <c r="I177" s="81"/>
      <c r="J177" s="57">
        <v>6009</v>
      </c>
      <c r="K177" s="57">
        <f t="shared" ref="K177:K184" si="22">J177*0.95</f>
        <v>5708.55</v>
      </c>
      <c r="L177" s="58">
        <f t="shared" ref="L177:L184" si="23">J177-K177</f>
        <v>300.44999999999982</v>
      </c>
      <c r="M177" s="176"/>
      <c r="N177" s="176"/>
      <c r="O177" s="176"/>
      <c r="P177" s="176"/>
      <c r="Q177" s="187"/>
      <c r="R177" s="66"/>
      <c r="S177" s="66"/>
      <c r="T177" s="81"/>
      <c r="U177" s="82"/>
      <c r="V177" s="41"/>
      <c r="W177" s="120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</row>
    <row r="178" spans="1:42" ht="27.95" hidden="1" customHeight="1">
      <c r="A178" s="30">
        <v>183</v>
      </c>
      <c r="B178" s="67" t="s">
        <v>136</v>
      </c>
      <c r="C178" s="55"/>
      <c r="D178" s="47"/>
      <c r="E178" s="57"/>
      <c r="F178" s="57"/>
      <c r="G178" s="57"/>
      <c r="H178" s="55">
        <v>1</v>
      </c>
      <c r="I178" s="81"/>
      <c r="J178" s="57">
        <v>10623.98</v>
      </c>
      <c r="K178" s="57">
        <f>J178*0.95+0.077</f>
        <v>10092.857999999998</v>
      </c>
      <c r="L178" s="58">
        <f t="shared" si="23"/>
        <v>531.12200000000121</v>
      </c>
      <c r="M178" s="176"/>
      <c r="N178" s="176"/>
      <c r="O178" s="176"/>
      <c r="P178" s="176"/>
      <c r="Q178" s="187"/>
      <c r="R178" s="66"/>
      <c r="S178" s="66"/>
      <c r="T178" s="81"/>
      <c r="U178" s="82"/>
      <c r="V178" s="41"/>
      <c r="W178" s="120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</row>
    <row r="179" spans="1:42" ht="27.95" hidden="1" customHeight="1">
      <c r="A179" s="30">
        <v>184</v>
      </c>
      <c r="B179" s="67" t="s">
        <v>137</v>
      </c>
      <c r="C179" s="55"/>
      <c r="D179" s="47"/>
      <c r="E179" s="57"/>
      <c r="F179" s="57"/>
      <c r="G179" s="57"/>
      <c r="H179" s="55">
        <v>0.14000000000000001</v>
      </c>
      <c r="I179" s="81"/>
      <c r="J179" s="57">
        <v>1598.12</v>
      </c>
      <c r="K179" s="57">
        <f t="shared" si="22"/>
        <v>1518.2139999999997</v>
      </c>
      <c r="L179" s="58">
        <f t="shared" si="23"/>
        <v>79.906000000000176</v>
      </c>
      <c r="M179" s="176"/>
      <c r="N179" s="176"/>
      <c r="O179" s="176"/>
      <c r="P179" s="176"/>
      <c r="Q179" s="187"/>
      <c r="R179" s="66"/>
      <c r="S179" s="66"/>
      <c r="T179" s="81"/>
      <c r="U179" s="82"/>
      <c r="V179" s="41"/>
      <c r="W179" s="120"/>
      <c r="X179" s="132" t="s">
        <v>19</v>
      </c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</row>
    <row r="180" spans="1:42" ht="27.95" hidden="1" customHeight="1">
      <c r="A180" s="30">
        <v>185</v>
      </c>
      <c r="B180" s="67" t="s">
        <v>154</v>
      </c>
      <c r="C180" s="55"/>
      <c r="D180" s="47"/>
      <c r="E180" s="57"/>
      <c r="F180" s="57"/>
      <c r="G180" s="57"/>
      <c r="H180" s="55">
        <v>0.1</v>
      </c>
      <c r="I180" s="81"/>
      <c r="J180" s="57">
        <v>2187.0500000000002</v>
      </c>
      <c r="K180" s="57">
        <f t="shared" si="22"/>
        <v>2077.6975000000002</v>
      </c>
      <c r="L180" s="58">
        <f t="shared" si="23"/>
        <v>109.35249999999996</v>
      </c>
      <c r="M180" s="176"/>
      <c r="N180" s="176"/>
      <c r="O180" s="176"/>
      <c r="P180" s="176"/>
      <c r="Q180" s="187"/>
      <c r="R180" s="66"/>
      <c r="S180" s="66"/>
      <c r="T180" s="81"/>
      <c r="U180" s="82"/>
      <c r="V180" s="41"/>
      <c r="W180" s="120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</row>
    <row r="181" spans="1:42" ht="27.95" hidden="1" customHeight="1">
      <c r="A181" s="30">
        <v>186</v>
      </c>
      <c r="B181" s="67" t="s">
        <v>141</v>
      </c>
      <c r="C181" s="55"/>
      <c r="D181" s="47"/>
      <c r="E181" s="57"/>
      <c r="F181" s="57"/>
      <c r="G181" s="57"/>
      <c r="H181" s="55">
        <v>0.25</v>
      </c>
      <c r="I181" s="81"/>
      <c r="J181" s="57">
        <v>5205.0600000000004</v>
      </c>
      <c r="K181" s="57">
        <f t="shared" si="22"/>
        <v>4944.8069999999998</v>
      </c>
      <c r="L181" s="58">
        <f t="shared" si="23"/>
        <v>260.25300000000061</v>
      </c>
      <c r="M181" s="176"/>
      <c r="N181" s="176"/>
      <c r="O181" s="176"/>
      <c r="P181" s="176"/>
      <c r="Q181" s="187"/>
      <c r="R181" s="66"/>
      <c r="S181" s="66"/>
      <c r="T181" s="81"/>
      <c r="U181" s="82"/>
      <c r="V181" s="41"/>
      <c r="W181" s="120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</row>
    <row r="182" spans="1:42" ht="27.95" hidden="1" customHeight="1">
      <c r="A182" s="30">
        <v>187</v>
      </c>
      <c r="B182" s="67" t="s">
        <v>138</v>
      </c>
      <c r="C182" s="55"/>
      <c r="D182" s="47"/>
      <c r="E182" s="57"/>
      <c r="F182" s="57"/>
      <c r="G182" s="57"/>
      <c r="H182" s="55">
        <v>1.6</v>
      </c>
      <c r="I182" s="81"/>
      <c r="J182" s="57">
        <v>9375.68</v>
      </c>
      <c r="K182" s="57">
        <f t="shared" si="22"/>
        <v>8906.8960000000006</v>
      </c>
      <c r="L182" s="58">
        <f t="shared" si="23"/>
        <v>468.78399999999965</v>
      </c>
      <c r="M182" s="176"/>
      <c r="N182" s="176"/>
      <c r="O182" s="176"/>
      <c r="P182" s="176"/>
      <c r="Q182" s="187"/>
      <c r="R182" s="66"/>
      <c r="S182" s="66"/>
      <c r="T182" s="81"/>
      <c r="U182" s="82"/>
      <c r="V182" s="41"/>
      <c r="W182" s="120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</row>
    <row r="183" spans="1:42" ht="30" hidden="1" customHeight="1">
      <c r="A183" s="30">
        <v>188</v>
      </c>
      <c r="B183" s="67" t="s">
        <v>142</v>
      </c>
      <c r="C183" s="55"/>
      <c r="D183" s="47"/>
      <c r="E183" s="57"/>
      <c r="F183" s="57"/>
      <c r="G183" s="57"/>
      <c r="H183" s="55">
        <v>6</v>
      </c>
      <c r="I183" s="81"/>
      <c r="J183" s="57">
        <v>21724.66</v>
      </c>
      <c r="K183" s="57">
        <f t="shared" si="22"/>
        <v>20638.427</v>
      </c>
      <c r="L183" s="58">
        <f t="shared" si="23"/>
        <v>1086.2330000000002</v>
      </c>
      <c r="M183" s="176"/>
      <c r="N183" s="176"/>
      <c r="O183" s="176"/>
      <c r="P183" s="176"/>
      <c r="Q183" s="187"/>
      <c r="R183" s="66"/>
      <c r="S183" s="66"/>
      <c r="T183" s="81"/>
      <c r="U183" s="82"/>
      <c r="V183" s="41"/>
      <c r="W183" s="120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</row>
    <row r="184" spans="1:42" ht="27.95" hidden="1" customHeight="1">
      <c r="A184" s="163">
        <v>189</v>
      </c>
      <c r="B184" s="67" t="s">
        <v>139</v>
      </c>
      <c r="C184" s="55"/>
      <c r="D184" s="47"/>
      <c r="E184" s="57"/>
      <c r="F184" s="57"/>
      <c r="G184" s="57"/>
      <c r="H184" s="55">
        <v>1.3</v>
      </c>
      <c r="I184" s="81"/>
      <c r="J184" s="57">
        <v>7617.7</v>
      </c>
      <c r="K184" s="57">
        <f t="shared" si="22"/>
        <v>7236.8149999999996</v>
      </c>
      <c r="L184" s="58">
        <f t="shared" si="23"/>
        <v>380.88500000000022</v>
      </c>
      <c r="M184" s="176"/>
      <c r="N184" s="176"/>
      <c r="O184" s="176"/>
      <c r="P184" s="176"/>
      <c r="Q184" s="187"/>
      <c r="R184" s="66"/>
      <c r="S184" s="66"/>
      <c r="T184" s="81"/>
      <c r="U184" s="82"/>
      <c r="V184" s="41"/>
      <c r="W184" s="120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</row>
    <row r="185" spans="1:42" ht="30" customHeight="1">
      <c r="A185" s="30"/>
      <c r="B185" s="46" t="s">
        <v>145</v>
      </c>
      <c r="C185" s="55"/>
      <c r="D185" s="47"/>
      <c r="E185" s="57"/>
      <c r="F185" s="57"/>
      <c r="G185" s="57"/>
      <c r="H185" s="47">
        <f>H186</f>
        <v>19.122</v>
      </c>
      <c r="I185" s="101"/>
      <c r="J185" s="47">
        <f>J186</f>
        <v>216420.4</v>
      </c>
      <c r="K185" s="47">
        <f>K186</f>
        <v>203435.2</v>
      </c>
      <c r="L185" s="48">
        <f>L186</f>
        <v>12985.199999999983</v>
      </c>
      <c r="M185" s="176"/>
      <c r="N185" s="176"/>
      <c r="O185" s="176"/>
      <c r="P185" s="176"/>
      <c r="Q185" s="187"/>
      <c r="R185" s="66"/>
      <c r="S185" s="66"/>
      <c r="T185" s="81"/>
      <c r="U185" s="82"/>
      <c r="V185" s="41"/>
      <c r="W185" s="120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</row>
    <row r="186" spans="1:42" ht="45.75" customHeight="1">
      <c r="A186" s="30">
        <v>117</v>
      </c>
      <c r="B186" s="54" t="s">
        <v>146</v>
      </c>
      <c r="C186" s="55"/>
      <c r="D186" s="47"/>
      <c r="E186" s="57"/>
      <c r="F186" s="57"/>
      <c r="G186" s="57"/>
      <c r="H186" s="55">
        <v>19.122</v>
      </c>
      <c r="I186" s="81"/>
      <c r="J186" s="57">
        <v>216420.4</v>
      </c>
      <c r="K186" s="57">
        <v>203435.2</v>
      </c>
      <c r="L186" s="58">
        <f>J186-K186</f>
        <v>12985.199999999983</v>
      </c>
      <c r="M186" s="176"/>
      <c r="N186" s="176"/>
      <c r="O186" s="176"/>
      <c r="P186" s="176"/>
      <c r="Q186" s="187"/>
      <c r="R186" s="66"/>
      <c r="S186" s="66"/>
      <c r="T186" s="81"/>
      <c r="U186" s="82"/>
      <c r="V186" s="41"/>
      <c r="W186" s="120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</row>
    <row r="187" spans="1:42" ht="33.75" hidden="1" customHeight="1">
      <c r="A187" s="30"/>
      <c r="B187" s="72" t="s">
        <v>76</v>
      </c>
      <c r="C187" s="47"/>
      <c r="D187" s="47"/>
      <c r="E187" s="47"/>
      <c r="F187" s="47"/>
      <c r="G187" s="47"/>
      <c r="H187" s="47"/>
      <c r="I187" s="47"/>
      <c r="J187" s="47"/>
      <c r="K187" s="47"/>
      <c r="L187" s="48"/>
      <c r="M187" s="176"/>
      <c r="N187" s="176"/>
      <c r="O187" s="176"/>
      <c r="P187" s="176"/>
      <c r="Q187" s="187"/>
      <c r="R187" s="50" t="e">
        <f>#REF!+#REF!</f>
        <v>#REF!</v>
      </c>
      <c r="S187" s="50"/>
      <c r="T187" s="47" t="e">
        <f>#REF!+#REF!</f>
        <v>#REF!</v>
      </c>
      <c r="U187" s="48" t="e">
        <f>#REF!+#REF!</f>
        <v>#REF!</v>
      </c>
      <c r="V187" s="49" t="e">
        <f>#REF!+#REF!</f>
        <v>#REF!</v>
      </c>
      <c r="W187" s="4"/>
      <c r="X187" s="4"/>
      <c r="Y187" s="4" t="s">
        <v>12</v>
      </c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</row>
    <row r="188" spans="1:42" ht="42.75" hidden="1" customHeight="1">
      <c r="A188" s="30"/>
      <c r="B188" s="54" t="s">
        <v>146</v>
      </c>
      <c r="C188" s="47"/>
      <c r="D188" s="47"/>
      <c r="E188" s="47"/>
      <c r="F188" s="47"/>
      <c r="G188" s="47"/>
      <c r="H188" s="47"/>
      <c r="I188" s="47"/>
      <c r="J188" s="47"/>
      <c r="K188" s="47"/>
      <c r="L188" s="48"/>
      <c r="M188" s="176"/>
      <c r="N188" s="176"/>
      <c r="O188" s="176"/>
      <c r="P188" s="176"/>
      <c r="Q188" s="187"/>
      <c r="R188" s="50"/>
      <c r="S188" s="50"/>
      <c r="T188" s="47"/>
      <c r="U188" s="48"/>
      <c r="V188" s="49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</row>
    <row r="189" spans="1:42" ht="29.25" customHeight="1">
      <c r="A189" s="53"/>
      <c r="B189" s="46" t="s">
        <v>77</v>
      </c>
      <c r="C189" s="47">
        <f>SUM(C195:C196)</f>
        <v>0</v>
      </c>
      <c r="D189" s="47">
        <f>SUM(D195:D196)</f>
        <v>343</v>
      </c>
      <c r="E189" s="47">
        <f>SUM(E195:E196)</f>
        <v>410343.9</v>
      </c>
      <c r="F189" s="47">
        <f t="shared" ref="F189:G189" si="24">SUM(F195:F196)</f>
        <v>381619.9</v>
      </c>
      <c r="G189" s="47">
        <f t="shared" si="24"/>
        <v>28724</v>
      </c>
      <c r="H189" s="47">
        <f>H190+H191</f>
        <v>2.8410000000000002</v>
      </c>
      <c r="I189" s="47">
        <f>I197</f>
        <v>260</v>
      </c>
      <c r="J189" s="47">
        <f>J190+J191+J197</f>
        <v>871007.49</v>
      </c>
      <c r="K189" s="47">
        <f t="shared" ref="K189:L189" si="25">K190+K191+K197</f>
        <v>810036.99069999997</v>
      </c>
      <c r="L189" s="47">
        <f t="shared" si="25"/>
        <v>60970.499299999996</v>
      </c>
      <c r="M189" s="47">
        <f>M191</f>
        <v>0.159</v>
      </c>
      <c r="N189" s="47"/>
      <c r="O189" s="47">
        <f>O191</f>
        <v>14610</v>
      </c>
      <c r="P189" s="47">
        <f>P191</f>
        <v>13733.4</v>
      </c>
      <c r="Q189" s="49">
        <f>Q191</f>
        <v>876.60000000000036</v>
      </c>
      <c r="R189" s="50" t="e">
        <f>#REF!+#REF!+#REF!+#REF!</f>
        <v>#REF!</v>
      </c>
      <c r="S189" s="50"/>
      <c r="T189" s="44" t="e">
        <f>#REF!+#REF!+#REF!+#REF!</f>
        <v>#REF!</v>
      </c>
      <c r="U189" s="45" t="e">
        <f>#REF!+#REF!+#REF!+#REF!</f>
        <v>#REF!</v>
      </c>
      <c r="V189" s="98" t="e">
        <f>#REF!+#REF!+#REF!</f>
        <v>#REF!</v>
      </c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</row>
    <row r="190" spans="1:42" ht="35.25" customHeight="1">
      <c r="A190" s="53">
        <v>118</v>
      </c>
      <c r="B190" s="89" t="s">
        <v>164</v>
      </c>
      <c r="C190" s="47"/>
      <c r="D190" s="47"/>
      <c r="E190" s="47"/>
      <c r="F190" s="47"/>
      <c r="G190" s="47"/>
      <c r="H190" s="55">
        <f>0.325+0.64+0.675+0.26</f>
        <v>1.9000000000000001</v>
      </c>
      <c r="I190" s="57"/>
      <c r="J190" s="57">
        <f>25108.79+44028.36+113335.92+35366.4</f>
        <v>217839.47</v>
      </c>
      <c r="K190" s="57">
        <f>J190*0.93</f>
        <v>202590.7071</v>
      </c>
      <c r="L190" s="58">
        <f>J190-K190</f>
        <v>15248.762900000002</v>
      </c>
      <c r="M190" s="176"/>
      <c r="N190" s="176"/>
      <c r="O190" s="176"/>
      <c r="P190" s="176"/>
      <c r="Q190" s="187"/>
      <c r="R190" s="50"/>
      <c r="S190" s="50"/>
      <c r="T190" s="44"/>
      <c r="U190" s="45"/>
      <c r="V190" s="98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</row>
    <row r="191" spans="1:42" ht="38.25" customHeight="1">
      <c r="A191" s="53"/>
      <c r="B191" s="89" t="s">
        <v>165</v>
      </c>
      <c r="C191" s="47"/>
      <c r="D191" s="47"/>
      <c r="E191" s="47"/>
      <c r="F191" s="47"/>
      <c r="G191" s="47"/>
      <c r="H191" s="55">
        <f>0.341+0.6</f>
        <v>0.94100000000000006</v>
      </c>
      <c r="I191" s="57"/>
      <c r="J191" s="57">
        <f>J192+J193</f>
        <v>223060.52</v>
      </c>
      <c r="K191" s="57">
        <f>K192+K193</f>
        <v>207446.2836</v>
      </c>
      <c r="L191" s="58">
        <f>L192+L193</f>
        <v>15614.236399999994</v>
      </c>
      <c r="M191" s="55">
        <f>M194</f>
        <v>0.159</v>
      </c>
      <c r="N191" s="57"/>
      <c r="O191" s="57">
        <f>O194</f>
        <v>14610</v>
      </c>
      <c r="P191" s="57">
        <f>P194</f>
        <v>13733.4</v>
      </c>
      <c r="Q191" s="61">
        <f>Q194</f>
        <v>876.60000000000036</v>
      </c>
      <c r="R191" s="50"/>
      <c r="S191" s="50"/>
      <c r="T191" s="44"/>
      <c r="U191" s="45"/>
      <c r="V191" s="98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</row>
    <row r="192" spans="1:42" ht="56.25">
      <c r="A192" s="135">
        <v>119</v>
      </c>
      <c r="B192" s="182" t="s">
        <v>178</v>
      </c>
      <c r="C192" s="122"/>
      <c r="D192" s="47"/>
      <c r="E192" s="47"/>
      <c r="F192" s="47"/>
      <c r="G192" s="122"/>
      <c r="H192" s="138">
        <v>0.34100000000000003</v>
      </c>
      <c r="I192" s="137"/>
      <c r="J192" s="137">
        <v>70877.72</v>
      </c>
      <c r="K192" s="57">
        <f>J192*0.93</f>
        <v>65916.279600000009</v>
      </c>
      <c r="L192" s="58">
        <f>J192-K192</f>
        <v>4961.4403999999922</v>
      </c>
      <c r="M192" s="176"/>
      <c r="N192" s="176"/>
      <c r="O192" s="176"/>
      <c r="P192" s="176"/>
      <c r="Q192" s="187"/>
      <c r="R192" s="50"/>
      <c r="S192" s="50"/>
      <c r="T192" s="44"/>
      <c r="U192" s="45"/>
      <c r="V192" s="98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</row>
    <row r="193" spans="1:42" ht="56.25">
      <c r="A193" s="135">
        <v>120</v>
      </c>
      <c r="B193" s="182" t="s">
        <v>181</v>
      </c>
      <c r="C193" s="122"/>
      <c r="D193" s="47"/>
      <c r="E193" s="47"/>
      <c r="F193" s="47"/>
      <c r="G193" s="122"/>
      <c r="H193" s="138">
        <v>0.6</v>
      </c>
      <c r="I193" s="122"/>
      <c r="J193" s="137">
        <v>152182.79999999999</v>
      </c>
      <c r="K193" s="57">
        <f>J193*0.93</f>
        <v>141530.00399999999</v>
      </c>
      <c r="L193" s="58">
        <f>J193-K193</f>
        <v>10652.796000000002</v>
      </c>
      <c r="M193" s="176"/>
      <c r="N193" s="176"/>
      <c r="O193" s="176"/>
      <c r="P193" s="176"/>
      <c r="Q193" s="187"/>
      <c r="R193" s="50"/>
      <c r="S193" s="50"/>
      <c r="T193" s="44"/>
      <c r="U193" s="45"/>
      <c r="V193" s="98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</row>
    <row r="194" spans="1:42" ht="42" customHeight="1">
      <c r="A194" s="135">
        <v>121</v>
      </c>
      <c r="B194" s="182" t="s">
        <v>182</v>
      </c>
      <c r="C194" s="122"/>
      <c r="D194" s="47"/>
      <c r="E194" s="47"/>
      <c r="F194" s="47"/>
      <c r="G194" s="122"/>
      <c r="H194" s="138"/>
      <c r="I194" s="122"/>
      <c r="J194" s="137"/>
      <c r="K194" s="137"/>
      <c r="L194" s="192"/>
      <c r="M194" s="193">
        <v>0.159</v>
      </c>
      <c r="N194" s="176"/>
      <c r="O194" s="137">
        <v>14610</v>
      </c>
      <c r="P194" s="57">
        <f>O194*0.94</f>
        <v>13733.4</v>
      </c>
      <c r="Q194" s="205">
        <f>O194-P194</f>
        <v>876.60000000000036</v>
      </c>
      <c r="R194" s="63"/>
      <c r="S194" s="58"/>
      <c r="T194" s="44"/>
      <c r="U194" s="45"/>
      <c r="V194" s="98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</row>
    <row r="195" spans="1:42" ht="63.75" customHeight="1">
      <c r="A195" s="135">
        <v>122</v>
      </c>
      <c r="B195" s="136" t="s">
        <v>87</v>
      </c>
      <c r="C195" s="122"/>
      <c r="D195" s="57">
        <v>343</v>
      </c>
      <c r="E195" s="57">
        <f>384634.4+24359.1+1350.4</f>
        <v>410343.9</v>
      </c>
      <c r="F195" s="57">
        <f>357710+22654+1255.9</f>
        <v>381619.9</v>
      </c>
      <c r="G195" s="137">
        <f>E195-F195</f>
        <v>28724</v>
      </c>
      <c r="H195" s="122"/>
      <c r="I195" s="122"/>
      <c r="J195" s="122"/>
      <c r="K195" s="122"/>
      <c r="L195" s="174"/>
      <c r="M195" s="176"/>
      <c r="N195" s="176"/>
      <c r="O195" s="176"/>
      <c r="P195" s="176"/>
      <c r="Q195" s="187"/>
      <c r="R195" s="50"/>
      <c r="S195" s="50"/>
      <c r="T195" s="44"/>
      <c r="U195" s="45"/>
      <c r="V195" s="98"/>
      <c r="W195" s="4"/>
      <c r="X195" s="4"/>
      <c r="Y195" s="4"/>
      <c r="Z195" s="132" t="s">
        <v>3</v>
      </c>
      <c r="AA195" s="140" t="s">
        <v>12</v>
      </c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</row>
    <row r="196" spans="1:42" ht="41.25" hidden="1" customHeight="1">
      <c r="A196" s="135"/>
      <c r="B196" s="136" t="s">
        <v>88</v>
      </c>
      <c r="C196" s="138"/>
      <c r="D196" s="47"/>
      <c r="E196" s="57"/>
      <c r="F196" s="57"/>
      <c r="G196" s="137"/>
      <c r="H196" s="122"/>
      <c r="I196" s="122"/>
      <c r="J196" s="122"/>
      <c r="K196" s="122"/>
      <c r="L196" s="174"/>
      <c r="M196" s="176"/>
      <c r="N196" s="176"/>
      <c r="O196" s="176"/>
      <c r="P196" s="176"/>
      <c r="Q196" s="187"/>
      <c r="R196" s="50"/>
      <c r="S196" s="50"/>
      <c r="T196" s="44"/>
      <c r="U196" s="45"/>
      <c r="V196" s="98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</row>
    <row r="197" spans="1:42" ht="51" customHeight="1" thickBot="1">
      <c r="A197" s="123">
        <v>123</v>
      </c>
      <c r="B197" s="124" t="s">
        <v>89</v>
      </c>
      <c r="C197" s="125"/>
      <c r="D197" s="126"/>
      <c r="E197" s="126"/>
      <c r="F197" s="126"/>
      <c r="G197" s="126"/>
      <c r="H197" s="127"/>
      <c r="I197" s="126">
        <v>260</v>
      </c>
      <c r="J197" s="126">
        <v>430107.5</v>
      </c>
      <c r="K197" s="126">
        <v>400000</v>
      </c>
      <c r="L197" s="175">
        <f>J197-K197</f>
        <v>30107.5</v>
      </c>
      <c r="M197" s="190"/>
      <c r="N197" s="190"/>
      <c r="O197" s="190"/>
      <c r="P197" s="190"/>
      <c r="Q197" s="191"/>
      <c r="R197" s="50"/>
      <c r="S197" s="50"/>
      <c r="T197" s="44"/>
      <c r="U197" s="45"/>
      <c r="V197" s="98"/>
      <c r="W197" s="118">
        <v>730170.6</v>
      </c>
      <c r="X197" s="118">
        <f>W197-E197</f>
        <v>730170.6</v>
      </c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</row>
    <row r="198" spans="1:42" ht="21.75" customHeight="1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</row>
    <row r="199" spans="1:42" ht="33.75" customHeight="1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</row>
    <row r="200" spans="1:42" ht="36" customHeight="1">
      <c r="A200" s="235" t="s">
        <v>179</v>
      </c>
      <c r="B200" s="235"/>
      <c r="C200" s="235"/>
      <c r="D200" s="235"/>
      <c r="E200" s="235"/>
      <c r="F200" s="235"/>
      <c r="G200" s="165"/>
      <c r="H200" s="165"/>
      <c r="I200" s="165"/>
      <c r="J200" s="165"/>
      <c r="K200" s="165"/>
      <c r="L200" s="165"/>
      <c r="M200" s="165"/>
      <c r="N200" s="165"/>
      <c r="O200" s="236" t="s">
        <v>180</v>
      </c>
      <c r="P200" s="236"/>
      <c r="Q200" s="236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</row>
    <row r="201" spans="1:42" ht="15" customHeight="1">
      <c r="C201" s="4"/>
      <c r="D201" s="4"/>
      <c r="E201" s="128"/>
      <c r="F201" s="128"/>
      <c r="G201" s="128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132" t="s">
        <v>3</v>
      </c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</row>
    <row r="202" spans="1:42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</row>
    <row r="203" spans="1:42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</row>
    <row r="204" spans="1:42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</row>
    <row r="205" spans="1:42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</row>
    <row r="206" spans="1:42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</row>
    <row r="207" spans="1:42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</row>
    <row r="208" spans="1:42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</row>
    <row r="209" spans="3:42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</row>
    <row r="210" spans="3:42">
      <c r="G210" s="2" t="s">
        <v>39</v>
      </c>
    </row>
  </sheetData>
  <mergeCells count="26">
    <mergeCell ref="A200:F200"/>
    <mergeCell ref="O200:Q200"/>
    <mergeCell ref="M6:N6"/>
    <mergeCell ref="O6:O7"/>
    <mergeCell ref="P6:Q6"/>
    <mergeCell ref="H6:I6"/>
    <mergeCell ref="J6:J7"/>
    <mergeCell ref="K6:L6"/>
    <mergeCell ref="A9:Q9"/>
    <mergeCell ref="B10:Q10"/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C6:D6"/>
    <mergeCell ref="E6:E7"/>
    <mergeCell ref="F6:G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49" firstPageNumber="96" fitToHeight="10" orientation="landscape" useFirstPageNumber="1" horizontalDpi="300" verticalDpi="300" r:id="rId1"/>
  <headerFooter>
    <oddHeader>&amp;C&amp;"Times New Roman,обычный"&amp;14&amp;P</oddHeader>
  </headerFooter>
  <rowBreaks count="2" manualBreakCount="2">
    <brk id="17" max="21" man="1"/>
    <brk id="171" max="21" man="1"/>
  </rowBreaks>
  <colBreaks count="1" manualBreakCount="1">
    <brk id="17" max="19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25.09.25 (для поправок 25-27)</vt:lpstr>
      <vt:lpstr>'25.09.25 (для поправок 25-27)'!Заголовки_для_печати</vt:lpstr>
      <vt:lpstr>'25.09.25 (для поправок 25-27)'!Область_печати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15</cp:revision>
  <cp:lastPrinted>2025-12-15T09:56:09Z</cp:lastPrinted>
  <dcterms:created xsi:type="dcterms:W3CDTF">2020-10-29T15:31:04Z</dcterms:created>
  <dcterms:modified xsi:type="dcterms:W3CDTF">2025-12-15T10:03:45Z</dcterms:modified>
  <dc:language>ru-RU</dc:language>
</cp:coreProperties>
</file>